
<file path=[Content_Types].xml><?xml version="1.0" encoding="utf-8"?>
<Types xmlns="http://schemas.openxmlformats.org/package/2006/content-types">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Tables/pivotTable1.xml" ContentType="application/vnd.openxmlformats-officedocument.spreadsheetml.pivotTable+xml"/>
  <Override PartName="/xl/pivotTables/pivotTable2.xml" ContentType="application/vnd.openxmlformats-officedocument.spreadsheetml.pivotTable+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2.xml" ContentType="application/vnd.openxmlformats-officedocument.spreadsheetml.pivotCacheDefinition+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Default Extension="vml" ContentType="application/vnd.openxmlformats-officedocument.vmlDrawing"/>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docProps/core.xml" ContentType="application/vnd.openxmlformats-package.core-properties+xml"/>
  <Override PartName="/customXml/itemProps4.xml" ContentType="application/vnd.openxmlformats-officedocument.customXmlProperties+xml"/>
  <Default Extension="bin" ContentType="application/vnd.openxmlformats-officedocument.spreadsheetml.printerSettings"/>
  <Override PartName="/customXml/itemProps2.xml" ContentType="application/vnd.openxmlformats-officedocument.customXmlProperties+xml"/>
  <Override PartName="/xl/pivotTables/pivotTable3.xml" ContentType="application/vnd.openxmlformats-officedocument.spreadsheetml.pivot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80" yWindow="165" windowWidth="18720" windowHeight="11835"/>
  </bookViews>
  <sheets>
    <sheet name="hovedmatrisecen " sheetId="1" r:id="rId1"/>
    <sheet name="stald arbejdstid" sheetId="14" state="hidden" r:id="rId2"/>
    <sheet name="anlægskartotek" sheetId="22" state="hidden" r:id="rId3"/>
    <sheet name="VAK-fordeling stald" sheetId="23" state="hidden" r:id="rId4"/>
    <sheet name="øvrige redskaber, mark" sheetId="15" state="hidden" r:id="rId5"/>
    <sheet name="arbejdstid, mark" sheetId="16" state="hidden" r:id="rId6"/>
    <sheet name="arealfordeling" sheetId="20" state="hidden" r:id="rId7"/>
    <sheet name="Ark1" sheetId="13" state="hidden" r:id="rId8"/>
    <sheet name="Ark8" sheetId="21" state="hidden" r:id="rId9"/>
  </sheets>
  <calcPr calcId="145621"/>
  <pivotCaches>
    <pivotCache cacheId="0" r:id="rId10"/>
    <pivotCache cacheId="1" r:id="rId11"/>
  </pivotCaches>
</workbook>
</file>

<file path=xl/calcChain.xml><?xml version="1.0" encoding="utf-8"?>
<calcChain xmlns="http://schemas.openxmlformats.org/spreadsheetml/2006/main">
  <c r="T72" i="1" l="1"/>
  <c r="S72" i="1"/>
  <c r="N72" i="1"/>
  <c r="O72" i="1"/>
  <c r="P72" i="1"/>
  <c r="Q72" i="1"/>
  <c r="M72" i="1"/>
  <c r="I72" i="1"/>
  <c r="C72" i="1"/>
  <c r="J72" i="1"/>
  <c r="K72" i="1"/>
  <c r="H72" i="1"/>
  <c r="D72" i="1"/>
  <c r="E72" i="1"/>
  <c r="F72" i="1"/>
  <c r="B72" i="1"/>
  <c r="L72" i="1" l="1"/>
  <c r="B68" i="1"/>
  <c r="G59" i="1"/>
  <c r="G58" i="1"/>
  <c r="H61" i="1"/>
  <c r="G66" i="1"/>
  <c r="M68" i="1"/>
  <c r="K68" i="1"/>
  <c r="H68" i="1"/>
  <c r="G72" i="1" l="1"/>
  <c r="R72" i="1"/>
  <c r="U72" i="1"/>
  <c r="U52" i="1"/>
  <c r="U53" i="1"/>
  <c r="U54" i="1"/>
  <c r="U55" i="1"/>
  <c r="U56" i="1"/>
  <c r="U58" i="1"/>
  <c r="U59" i="1"/>
  <c r="U60" i="1"/>
  <c r="U65" i="1"/>
  <c r="U66" i="1"/>
  <c r="U67" i="1"/>
  <c r="U21" i="1"/>
  <c r="H75" i="1"/>
  <c r="L67" i="1"/>
  <c r="R59" i="1"/>
  <c r="C68" i="1"/>
  <c r="E68" i="1"/>
  <c r="F68" i="1"/>
  <c r="P2" i="1"/>
  <c r="P8" i="1" s="1"/>
  <c r="P49" i="1" s="1"/>
  <c r="N49" i="1"/>
  <c r="C20" i="1"/>
  <c r="C19" i="1"/>
  <c r="C18" i="1"/>
  <c r="C17" i="1"/>
  <c r="L17" i="1" s="1"/>
  <c r="N8" i="1" l="1"/>
  <c r="O49" i="1" s="1"/>
  <c r="U49" i="1" s="1"/>
  <c r="R65" i="1"/>
  <c r="N50" i="1"/>
  <c r="R22" i="1"/>
  <c r="R23" i="1"/>
  <c r="R24" i="1"/>
  <c r="R25" i="1"/>
  <c r="R26" i="1"/>
  <c r="R27" i="1"/>
  <c r="R28" i="1"/>
  <c r="R29" i="1"/>
  <c r="R31" i="1"/>
  <c r="R32" i="1"/>
  <c r="R33" i="1"/>
  <c r="R21" i="1"/>
  <c r="G17" i="1" l="1"/>
  <c r="M48" i="1"/>
  <c r="N34" i="1"/>
  <c r="O34" i="1"/>
  <c r="P34" i="1"/>
  <c r="Q34" i="1"/>
  <c r="S34" i="1"/>
  <c r="T34" i="1"/>
  <c r="M34" i="1"/>
  <c r="C34" i="1"/>
  <c r="C35" i="1" s="1"/>
  <c r="D34" i="1"/>
  <c r="E34" i="1"/>
  <c r="E35" i="1" s="1"/>
  <c r="F34" i="1"/>
  <c r="F35" i="1" s="1"/>
  <c r="B34" i="1"/>
  <c r="G21" i="1"/>
  <c r="G22" i="1"/>
  <c r="G24" i="1"/>
  <c r="G25" i="1"/>
  <c r="G26" i="1"/>
  <c r="G28" i="1"/>
  <c r="G29" i="1"/>
  <c r="G31" i="1"/>
  <c r="G32" i="1"/>
  <c r="G33" i="1"/>
  <c r="N30" i="1"/>
  <c r="O30" i="1"/>
  <c r="P30" i="1"/>
  <c r="P35" i="1" s="1"/>
  <c r="Q30" i="1"/>
  <c r="Q35" i="1" s="1"/>
  <c r="M30" i="1"/>
  <c r="I48" i="1"/>
  <c r="H48" i="1"/>
  <c r="D63" i="1"/>
  <c r="C63" i="1"/>
  <c r="Q26" i="22"/>
  <c r="Q24" i="22"/>
  <c r="Q25" i="22"/>
  <c r="Q22" i="22"/>
  <c r="Q23" i="22"/>
  <c r="Q21" i="22"/>
  <c r="Q20" i="22"/>
  <c r="Q17" i="22"/>
  <c r="Q18" i="22"/>
  <c r="C19" i="22"/>
  <c r="Q16" i="22"/>
  <c r="K26" i="22"/>
  <c r="K27" i="22"/>
  <c r="K28" i="22"/>
  <c r="K29" i="22"/>
  <c r="K18" i="22"/>
  <c r="K20" i="22"/>
  <c r="K21" i="22"/>
  <c r="K22" i="22"/>
  <c r="K23" i="22"/>
  <c r="K24" i="22"/>
  <c r="K25" i="22"/>
  <c r="K19" i="22"/>
  <c r="K17" i="22"/>
  <c r="F17" i="22"/>
  <c r="L19" i="22"/>
  <c r="M19" i="22"/>
  <c r="N19" i="22"/>
  <c r="N30" i="22" s="1"/>
  <c r="B19" i="15"/>
  <c r="C19" i="15"/>
  <c r="D19" i="15"/>
  <c r="E19" i="15"/>
  <c r="Q92" i="1"/>
  <c r="R30" i="22"/>
  <c r="P30" i="22"/>
  <c r="O30" i="22"/>
  <c r="J30" i="22"/>
  <c r="K92" i="1" s="1"/>
  <c r="I30" i="22"/>
  <c r="J92" i="1" s="1"/>
  <c r="H30" i="22"/>
  <c r="I92" i="1" s="1"/>
  <c r="G30" i="22"/>
  <c r="F30" i="22"/>
  <c r="R66" i="1"/>
  <c r="D67" i="1"/>
  <c r="D68" i="1" s="1"/>
  <c r="L65" i="1"/>
  <c r="N62" i="1"/>
  <c r="C62" i="1"/>
  <c r="H62" i="1" s="1"/>
  <c r="R64" i="1"/>
  <c r="G65" i="1"/>
  <c r="R58" i="1"/>
  <c r="D60" i="1"/>
  <c r="G56" i="1"/>
  <c r="C56" i="1"/>
  <c r="L56" i="1" s="1"/>
  <c r="C54" i="1"/>
  <c r="L54" i="1" s="1"/>
  <c r="L53" i="1"/>
  <c r="E51" i="1"/>
  <c r="F51" i="1"/>
  <c r="L52" i="1"/>
  <c r="L49" i="1"/>
  <c r="L50" i="1"/>
  <c r="C55" i="1"/>
  <c r="L55" i="1" s="1"/>
  <c r="G52" i="1"/>
  <c r="G53" i="1"/>
  <c r="G54" i="1"/>
  <c r="B51" i="1"/>
  <c r="G92" i="1"/>
  <c r="H9" i="21"/>
  <c r="H8" i="21"/>
  <c r="I7" i="21"/>
  <c r="C17" i="15"/>
  <c r="O35" i="1" l="1"/>
  <c r="R30" i="1"/>
  <c r="N35" i="1"/>
  <c r="U48" i="1"/>
  <c r="R48" i="1"/>
  <c r="D35" i="1"/>
  <c r="R34" i="1"/>
  <c r="M35" i="1"/>
  <c r="G34" i="1"/>
  <c r="Q30" i="22"/>
  <c r="K30" i="22"/>
  <c r="L30" i="22"/>
  <c r="M30" i="22"/>
  <c r="L57" i="1"/>
  <c r="M62" i="1"/>
  <c r="J62" i="1"/>
  <c r="H13" i="21"/>
  <c r="H7" i="21"/>
  <c r="H6" i="21"/>
  <c r="B23" i="20"/>
  <c r="A23" i="20"/>
  <c r="B22" i="20"/>
  <c r="A22" i="20"/>
  <c r="B21" i="20"/>
  <c r="A21" i="20"/>
  <c r="B20" i="20"/>
  <c r="B17" i="20"/>
  <c r="B15" i="16"/>
  <c r="E17" i="15"/>
  <c r="B12" i="16"/>
  <c r="D17" i="15"/>
  <c r="B14" i="16"/>
  <c r="B17" i="16"/>
  <c r="B13" i="16"/>
  <c r="U35" i="1" l="1"/>
  <c r="R35" i="1"/>
  <c r="G35" i="1"/>
  <c r="H11" i="21"/>
  <c r="H10" i="21"/>
  <c r="G17" i="15"/>
  <c r="E20" i="15" s="1"/>
  <c r="K48" i="1" s="1"/>
  <c r="K51" i="1" s="1"/>
  <c r="B16" i="16"/>
  <c r="C16" i="16" s="1"/>
  <c r="C20" i="20"/>
  <c r="C22" i="20"/>
  <c r="B25" i="20"/>
  <c r="C21" i="20" s="1"/>
  <c r="L66" i="1" l="1"/>
  <c r="L68" i="1" s="1"/>
  <c r="B20" i="15"/>
  <c r="C15" i="16"/>
  <c r="C14" i="16"/>
  <c r="C13" i="16"/>
  <c r="C12" i="16"/>
  <c r="D20" i="15"/>
  <c r="C20" i="15"/>
  <c r="C23" i="20"/>
  <c r="J48" i="1"/>
  <c r="B57" i="1"/>
  <c r="F21" i="15" l="1"/>
  <c r="G20" i="15"/>
  <c r="L59" i="1"/>
  <c r="G48" i="1"/>
  <c r="L48" i="1"/>
  <c r="H57" i="1"/>
  <c r="I57" i="1"/>
  <c r="J57" i="1"/>
  <c r="K57" i="1"/>
  <c r="P10" i="14"/>
  <c r="I75" i="1"/>
  <c r="J75" i="1"/>
  <c r="K75" i="1"/>
  <c r="CI56" i="14"/>
  <c r="CI57" i="14"/>
  <c r="CH56" i="14"/>
  <c r="CH57" i="14" s="1"/>
  <c r="CG56" i="14"/>
  <c r="CG57" i="14"/>
  <c r="CF56" i="14"/>
  <c r="CF57" i="14" s="1"/>
  <c r="CE56" i="14"/>
  <c r="CE57" i="14"/>
  <c r="CD56" i="14"/>
  <c r="CD57" i="14" s="1"/>
  <c r="CC56" i="14"/>
  <c r="CC57" i="14"/>
  <c r="CA56" i="14"/>
  <c r="CA57" i="14" s="1"/>
  <c r="BZ56" i="14"/>
  <c r="BZ57" i="14" s="1"/>
  <c r="BY56" i="14"/>
  <c r="BY57" i="14" s="1"/>
  <c r="BX56" i="14"/>
  <c r="BX57" i="14" s="1"/>
  <c r="BW56" i="14"/>
  <c r="BW57" i="14" s="1"/>
  <c r="BV56" i="14"/>
  <c r="BV57" i="14" s="1"/>
  <c r="BU56" i="14"/>
  <c r="BU57" i="14" s="1"/>
  <c r="BS56" i="14"/>
  <c r="BS57" i="14" s="1"/>
  <c r="BR56" i="14"/>
  <c r="BR57" i="14" s="1"/>
  <c r="BQ56" i="14"/>
  <c r="BQ57" i="14" s="1"/>
  <c r="BP56" i="14"/>
  <c r="BP57" i="14" s="1"/>
  <c r="BO56" i="14"/>
  <c r="BO57" i="14" s="1"/>
  <c r="BN56" i="14"/>
  <c r="BN57" i="14" s="1"/>
  <c r="BM56" i="14"/>
  <c r="BM57" i="14" s="1"/>
  <c r="BK56" i="14"/>
  <c r="BK57" i="14" s="1"/>
  <c r="BJ56" i="14"/>
  <c r="BJ57" i="14" s="1"/>
  <c r="BI56" i="14"/>
  <c r="BI57" i="14" s="1"/>
  <c r="BH56" i="14"/>
  <c r="BH57" i="14" s="1"/>
  <c r="BG56" i="14"/>
  <c r="BG57" i="14" s="1"/>
  <c r="BF56" i="14"/>
  <c r="BF57" i="14" s="1"/>
  <c r="BE56" i="14"/>
  <c r="BE57" i="14" s="1"/>
  <c r="BC56" i="14"/>
  <c r="BC57" i="14" s="1"/>
  <c r="BB56" i="14"/>
  <c r="BB57" i="14" s="1"/>
  <c r="BA56" i="14"/>
  <c r="BA57" i="14" s="1"/>
  <c r="AZ56" i="14"/>
  <c r="AZ57" i="14" s="1"/>
  <c r="AY56" i="14"/>
  <c r="AY57" i="14" s="1"/>
  <c r="AX56" i="14"/>
  <c r="AX57" i="14" s="1"/>
  <c r="AW56" i="14"/>
  <c r="AW57" i="14" s="1"/>
  <c r="AU56" i="14"/>
  <c r="AU57" i="14" s="1"/>
  <c r="AT56" i="14"/>
  <c r="AT57" i="14" s="1"/>
  <c r="AS56" i="14"/>
  <c r="AS57" i="14" s="1"/>
  <c r="AR56" i="14"/>
  <c r="AR57" i="14" s="1"/>
  <c r="AQ56" i="14"/>
  <c r="AQ57" i="14" s="1"/>
  <c r="AP56" i="14"/>
  <c r="AP57" i="14" s="1"/>
  <c r="AO56" i="14"/>
  <c r="AO57" i="14" s="1"/>
  <c r="AM56" i="14"/>
  <c r="AM57" i="14" s="1"/>
  <c r="AL56" i="14"/>
  <c r="AL57" i="14" s="1"/>
  <c r="AK56" i="14"/>
  <c r="AK57" i="14" s="1"/>
  <c r="AJ56" i="14"/>
  <c r="AJ57" i="14" s="1"/>
  <c r="AI56" i="14"/>
  <c r="AI57" i="14" s="1"/>
  <c r="AH56" i="14"/>
  <c r="AH57" i="14" s="1"/>
  <c r="AG56" i="14"/>
  <c r="AG57" i="14" s="1"/>
  <c r="AE56" i="14"/>
  <c r="AE57" i="14" s="1"/>
  <c r="AD56" i="14"/>
  <c r="AD57" i="14" s="1"/>
  <c r="AC56" i="14"/>
  <c r="AC57" i="14" s="1"/>
  <c r="AB56" i="14"/>
  <c r="AB57" i="14" s="1"/>
  <c r="AA56" i="14"/>
  <c r="AA57" i="14" s="1"/>
  <c r="Z56" i="14"/>
  <c r="Z57" i="14" s="1"/>
  <c r="Y56" i="14"/>
  <c r="Y57" i="14" s="1"/>
  <c r="W56" i="14"/>
  <c r="W57" i="14" s="1"/>
  <c r="V56" i="14"/>
  <c r="V57" i="14" s="1"/>
  <c r="U56" i="14"/>
  <c r="U57" i="14" s="1"/>
  <c r="T56" i="14"/>
  <c r="T57" i="14" s="1"/>
  <c r="M56" i="14"/>
  <c r="M57" i="14" s="1"/>
  <c r="L56" i="14"/>
  <c r="L57" i="14" s="1"/>
  <c r="K56" i="14"/>
  <c r="K57" i="14" s="1"/>
  <c r="J56" i="14"/>
  <c r="J57" i="14" s="1"/>
  <c r="I56" i="14"/>
  <c r="I57" i="14" s="1"/>
  <c r="H56" i="14"/>
  <c r="H57" i="14" s="1"/>
  <c r="G56" i="14"/>
  <c r="G57" i="14" s="1"/>
  <c r="CJ54" i="14"/>
  <c r="CB54" i="14"/>
  <c r="BT54" i="14"/>
  <c r="BL54" i="14"/>
  <c r="BD54" i="14"/>
  <c r="AV54" i="14"/>
  <c r="AN54" i="14"/>
  <c r="AF54" i="14"/>
  <c r="X54" i="14"/>
  <c r="E54" i="14" s="1"/>
  <c r="N54" i="14"/>
  <c r="CJ53" i="14"/>
  <c r="CB53" i="14"/>
  <c r="BT53" i="14"/>
  <c r="BL53" i="14"/>
  <c r="BD53" i="14"/>
  <c r="AV53" i="14"/>
  <c r="AN53" i="14"/>
  <c r="AF53" i="14"/>
  <c r="X53" i="14"/>
  <c r="N53" i="14"/>
  <c r="CJ50" i="14"/>
  <c r="CB50" i="14"/>
  <c r="BT50" i="14"/>
  <c r="BL50" i="14"/>
  <c r="BD50" i="14"/>
  <c r="AV50" i="14"/>
  <c r="AN50" i="14"/>
  <c r="AF50" i="14"/>
  <c r="X50" i="14"/>
  <c r="N50" i="14"/>
  <c r="CJ49" i="14"/>
  <c r="CB49" i="14"/>
  <c r="BT49" i="14"/>
  <c r="BL49" i="14"/>
  <c r="BD49" i="14"/>
  <c r="AV49" i="14"/>
  <c r="AN49" i="14"/>
  <c r="AF49" i="14"/>
  <c r="X49" i="14"/>
  <c r="N49" i="14"/>
  <c r="E49" i="14" s="1"/>
  <c r="CJ48" i="14"/>
  <c r="CB48" i="14"/>
  <c r="BT48" i="14"/>
  <c r="BL48" i="14"/>
  <c r="BD48" i="14"/>
  <c r="AV48" i="14"/>
  <c r="AN48" i="14"/>
  <c r="AF48" i="14"/>
  <c r="X48" i="14"/>
  <c r="N48" i="14"/>
  <c r="E48" i="14"/>
  <c r="C48" i="14" s="1"/>
  <c r="CJ47" i="14"/>
  <c r="CB47" i="14"/>
  <c r="BT47" i="14"/>
  <c r="BL47" i="14"/>
  <c r="BD47" i="14"/>
  <c r="AV47" i="14"/>
  <c r="AN47" i="14"/>
  <c r="AF47" i="14"/>
  <c r="X47" i="14"/>
  <c r="N47" i="14"/>
  <c r="E47" i="14" s="1"/>
  <c r="D47" i="14" s="1"/>
  <c r="CJ44" i="14"/>
  <c r="CB44" i="14"/>
  <c r="BT44" i="14"/>
  <c r="BL44" i="14"/>
  <c r="BD44" i="14"/>
  <c r="AV44" i="14"/>
  <c r="AN44" i="14"/>
  <c r="AF44" i="14"/>
  <c r="X44" i="14"/>
  <c r="E44" i="14" s="1"/>
  <c r="N44" i="14"/>
  <c r="CJ43" i="14"/>
  <c r="CB43" i="14"/>
  <c r="BT43" i="14"/>
  <c r="BL43" i="14"/>
  <c r="BD43" i="14"/>
  <c r="AV43" i="14"/>
  <c r="AN43" i="14"/>
  <c r="AF43" i="14"/>
  <c r="X43" i="14"/>
  <c r="E43" i="14" s="1"/>
  <c r="C43" i="14" s="1"/>
  <c r="N43" i="14"/>
  <c r="CJ42" i="14"/>
  <c r="CB42" i="14"/>
  <c r="BT42" i="14"/>
  <c r="BL42" i="14"/>
  <c r="BD42" i="14"/>
  <c r="AV42" i="14"/>
  <c r="AN42" i="14"/>
  <c r="AF42" i="14"/>
  <c r="X42" i="14"/>
  <c r="N42" i="14"/>
  <c r="E42" i="14" s="1"/>
  <c r="C42" i="14" s="1"/>
  <c r="CJ41" i="14"/>
  <c r="CB41" i="14"/>
  <c r="BT41" i="14"/>
  <c r="BL41" i="14"/>
  <c r="BD41" i="14"/>
  <c r="AV41" i="14"/>
  <c r="AN41" i="14"/>
  <c r="AF41" i="14"/>
  <c r="X41" i="14"/>
  <c r="N41" i="14"/>
  <c r="E41" i="14"/>
  <c r="CJ40" i="14"/>
  <c r="CB40" i="14"/>
  <c r="BT40" i="14"/>
  <c r="BL40" i="14"/>
  <c r="BD40" i="14"/>
  <c r="AV40" i="14"/>
  <c r="AN40" i="14"/>
  <c r="AF40" i="14"/>
  <c r="X40" i="14"/>
  <c r="N40" i="14"/>
  <c r="CJ39" i="14"/>
  <c r="CB39" i="14"/>
  <c r="BT39" i="14"/>
  <c r="BL39" i="14"/>
  <c r="BD39" i="14"/>
  <c r="AV39" i="14"/>
  <c r="AN39" i="14"/>
  <c r="AF39" i="14"/>
  <c r="X39" i="14"/>
  <c r="N39" i="14"/>
  <c r="CJ36" i="14"/>
  <c r="CB36" i="14"/>
  <c r="BT36" i="14"/>
  <c r="BL36" i="14"/>
  <c r="BD36" i="14"/>
  <c r="AV36" i="14"/>
  <c r="AN36" i="14"/>
  <c r="AF36" i="14"/>
  <c r="X36" i="14"/>
  <c r="E36" i="14" s="1"/>
  <c r="N36" i="14"/>
  <c r="CJ35" i="14"/>
  <c r="CB35" i="14"/>
  <c r="BT35" i="14"/>
  <c r="BL35" i="14"/>
  <c r="BD35" i="14"/>
  <c r="AV35" i="14"/>
  <c r="AN35" i="14"/>
  <c r="AF35" i="14"/>
  <c r="X35" i="14"/>
  <c r="E35" i="14"/>
  <c r="C35" i="14" s="1"/>
  <c r="N35" i="14"/>
  <c r="CJ34" i="14"/>
  <c r="CB34" i="14"/>
  <c r="BT34" i="14"/>
  <c r="BL34" i="14"/>
  <c r="BD34" i="14"/>
  <c r="AV34" i="14"/>
  <c r="AN34" i="14"/>
  <c r="AF34" i="14"/>
  <c r="X34" i="14"/>
  <c r="N34" i="14"/>
  <c r="E34" i="14"/>
  <c r="C34" i="14" s="1"/>
  <c r="CJ33" i="14"/>
  <c r="CB33" i="14"/>
  <c r="BT33" i="14"/>
  <c r="BL33" i="14"/>
  <c r="BD33" i="14"/>
  <c r="AV33" i="14"/>
  <c r="AN33" i="14"/>
  <c r="AF33" i="14"/>
  <c r="X33" i="14"/>
  <c r="N33" i="14"/>
  <c r="E33" i="14" s="1"/>
  <c r="C33" i="14" s="1"/>
  <c r="CJ32" i="14"/>
  <c r="CB32" i="14"/>
  <c r="BT32" i="14"/>
  <c r="BL32" i="14"/>
  <c r="BD32" i="14"/>
  <c r="AV32" i="14"/>
  <c r="AN32" i="14"/>
  <c r="AF32" i="14"/>
  <c r="X32" i="14"/>
  <c r="N32" i="14"/>
  <c r="CJ31" i="14"/>
  <c r="CB31" i="14"/>
  <c r="BT31" i="14"/>
  <c r="BL31" i="14"/>
  <c r="BD31" i="14"/>
  <c r="AV31" i="14"/>
  <c r="AN31" i="14"/>
  <c r="AF31" i="14"/>
  <c r="X31" i="14"/>
  <c r="N31" i="14"/>
  <c r="CJ28" i="14"/>
  <c r="CB28" i="14"/>
  <c r="BT28" i="14"/>
  <c r="BL28" i="14"/>
  <c r="BD28" i="14"/>
  <c r="AV28" i="14"/>
  <c r="AN28" i="14"/>
  <c r="AF28" i="14"/>
  <c r="X28" i="14"/>
  <c r="E28" i="14" s="1"/>
  <c r="N28" i="14"/>
  <c r="CJ27" i="14"/>
  <c r="CB27" i="14"/>
  <c r="BT27" i="14"/>
  <c r="BL27" i="14"/>
  <c r="BD27" i="14"/>
  <c r="AV27" i="14"/>
  <c r="AN27" i="14"/>
  <c r="AF27" i="14"/>
  <c r="X27" i="14"/>
  <c r="N27" i="14"/>
  <c r="CJ26" i="14"/>
  <c r="CB26" i="14"/>
  <c r="BT26" i="14"/>
  <c r="BL26" i="14"/>
  <c r="BD26" i="14"/>
  <c r="AV26" i="14"/>
  <c r="AN26" i="14"/>
  <c r="AF26" i="14"/>
  <c r="N26" i="14"/>
  <c r="CJ25" i="14"/>
  <c r="CB25" i="14"/>
  <c r="BT25" i="14"/>
  <c r="BL25" i="14"/>
  <c r="BD25" i="14"/>
  <c r="AV25" i="14"/>
  <c r="AN25" i="14"/>
  <c r="AF25" i="14"/>
  <c r="R26" i="14"/>
  <c r="N25" i="14"/>
  <c r="CJ24" i="14"/>
  <c r="CB24" i="14"/>
  <c r="CB56" i="14" s="1"/>
  <c r="CB57" i="14" s="1"/>
  <c r="BT24" i="14"/>
  <c r="BL24" i="14"/>
  <c r="BD24" i="14"/>
  <c r="AV24" i="14"/>
  <c r="AV56" i="14" s="1"/>
  <c r="AV57" i="14" s="1"/>
  <c r="AN24" i="14"/>
  <c r="AF24" i="14"/>
  <c r="R25" i="14"/>
  <c r="N24" i="14"/>
  <c r="CJ23" i="14"/>
  <c r="CB23" i="14"/>
  <c r="BT23" i="14"/>
  <c r="BL23" i="14"/>
  <c r="BD23" i="14"/>
  <c r="AV23" i="14"/>
  <c r="AN23" i="14"/>
  <c r="AF23" i="14"/>
  <c r="N23" i="14"/>
  <c r="CJ22" i="14"/>
  <c r="CB22" i="14"/>
  <c r="BT22" i="14"/>
  <c r="BL22" i="14"/>
  <c r="BD22" i="14"/>
  <c r="AV22" i="14"/>
  <c r="AN22" i="14"/>
  <c r="AF22" i="14"/>
  <c r="N22" i="14"/>
  <c r="P21" i="14" s="1"/>
  <c r="R21" i="14" s="1"/>
  <c r="CJ21" i="14"/>
  <c r="CB21" i="14"/>
  <c r="BT21" i="14"/>
  <c r="BL21" i="14"/>
  <c r="BD21" i="14"/>
  <c r="AV21" i="14"/>
  <c r="AN21" i="14"/>
  <c r="AF21" i="14"/>
  <c r="N21" i="14"/>
  <c r="CJ20" i="14"/>
  <c r="CB20" i="14"/>
  <c r="BT20" i="14"/>
  <c r="BL20" i="14"/>
  <c r="BD20" i="14"/>
  <c r="AV20" i="14"/>
  <c r="AN20" i="14"/>
  <c r="AF20" i="14"/>
  <c r="N20" i="14"/>
  <c r="CJ19" i="14"/>
  <c r="CB19" i="14"/>
  <c r="BT19" i="14"/>
  <c r="BT56" i="14" s="1"/>
  <c r="BT57" i="14" s="1"/>
  <c r="BL19" i="14"/>
  <c r="BD19" i="14"/>
  <c r="AV19" i="14"/>
  <c r="AN19" i="14"/>
  <c r="AF19" i="14"/>
  <c r="N19" i="14"/>
  <c r="S92" i="1"/>
  <c r="S74" i="1" s="1"/>
  <c r="N85" i="1"/>
  <c r="O85" i="1"/>
  <c r="M85" i="1"/>
  <c r="N80" i="1"/>
  <c r="O80" i="1"/>
  <c r="M80" i="1"/>
  <c r="G67" i="1"/>
  <c r="S64" i="1"/>
  <c r="U64" i="1" s="1"/>
  <c r="L11" i="1"/>
  <c r="U22" i="1"/>
  <c r="U23" i="1"/>
  <c r="U24" i="1"/>
  <c r="U25" i="1"/>
  <c r="U26" i="1"/>
  <c r="U27" i="1"/>
  <c r="U28" i="1"/>
  <c r="U29" i="1"/>
  <c r="U31" i="1"/>
  <c r="U32" i="1"/>
  <c r="U33" i="1"/>
  <c r="O61" i="1"/>
  <c r="N61" i="1"/>
  <c r="P46" i="1"/>
  <c r="O46" i="1"/>
  <c r="Q45" i="1"/>
  <c r="P45" i="1"/>
  <c r="P44" i="1"/>
  <c r="O44" i="1"/>
  <c r="P41" i="1"/>
  <c r="O41" i="1"/>
  <c r="P42" i="1"/>
  <c r="O42" i="1"/>
  <c r="O37" i="1"/>
  <c r="P37" i="1"/>
  <c r="P36" i="1"/>
  <c r="O36" i="1"/>
  <c r="S7" i="1"/>
  <c r="M4" i="1"/>
  <c r="P63" i="1"/>
  <c r="O62" i="1"/>
  <c r="G27" i="1"/>
  <c r="S51" i="1"/>
  <c r="T51" i="1"/>
  <c r="I51" i="1"/>
  <c r="J51" i="1"/>
  <c r="H51" i="1"/>
  <c r="Q68" i="1"/>
  <c r="Q61" i="1"/>
  <c r="P68" i="1"/>
  <c r="P3" i="1"/>
  <c r="P5" i="1"/>
  <c r="P61" i="1"/>
  <c r="O40" i="1"/>
  <c r="Q39" i="1"/>
  <c r="O43" i="1"/>
  <c r="N6" i="1"/>
  <c r="M6" i="1"/>
  <c r="O4" i="1"/>
  <c r="N4" i="1"/>
  <c r="S61" i="1"/>
  <c r="T61" i="1"/>
  <c r="S68" i="1"/>
  <c r="T68" i="1"/>
  <c r="M47" i="1"/>
  <c r="N47" i="1"/>
  <c r="T47" i="1"/>
  <c r="M57" i="1"/>
  <c r="N57" i="1"/>
  <c r="O57" i="1"/>
  <c r="P57" i="1"/>
  <c r="Q57" i="1"/>
  <c r="R57" i="1"/>
  <c r="S57" i="1"/>
  <c r="T57" i="1"/>
  <c r="S20" i="1"/>
  <c r="T20" i="1"/>
  <c r="D35" i="14"/>
  <c r="D43" i="14"/>
  <c r="D33" i="14"/>
  <c r="D48" i="14"/>
  <c r="D42" i="14"/>
  <c r="C47" i="14"/>
  <c r="P62" i="1"/>
  <c r="S47" i="1"/>
  <c r="M61" i="1"/>
  <c r="I62" i="1"/>
  <c r="H74" i="1" l="1"/>
  <c r="U62" i="1"/>
  <c r="C28" i="14"/>
  <c r="D28" i="14"/>
  <c r="C41" i="14"/>
  <c r="D41" i="14"/>
  <c r="E50" i="14"/>
  <c r="P24" i="14"/>
  <c r="R24" i="14" s="1"/>
  <c r="BD56" i="14"/>
  <c r="BD57" i="14" s="1"/>
  <c r="O50" i="14"/>
  <c r="O28" i="14"/>
  <c r="P55" i="14"/>
  <c r="N56" i="14"/>
  <c r="CJ56" i="14"/>
  <c r="CJ57" i="14" s="1"/>
  <c r="E32" i="14"/>
  <c r="E39" i="14"/>
  <c r="C54" i="14"/>
  <c r="D54" i="14"/>
  <c r="P20" i="14"/>
  <c r="Q8" i="14"/>
  <c r="Q7" i="14"/>
  <c r="C44" i="14"/>
  <c r="D44" i="14"/>
  <c r="E31" i="14"/>
  <c r="O35" i="14"/>
  <c r="D34" i="14"/>
  <c r="AN56" i="14"/>
  <c r="AN57" i="14" s="1"/>
  <c r="AF56" i="14"/>
  <c r="AF57" i="14" s="1"/>
  <c r="BL56" i="14"/>
  <c r="BL57" i="14" s="1"/>
  <c r="C36" i="14"/>
  <c r="D36" i="14"/>
  <c r="E40" i="14"/>
  <c r="C49" i="14"/>
  <c r="D49" i="14"/>
  <c r="O54" i="14"/>
  <c r="R19" i="14" s="1"/>
  <c r="E53" i="14"/>
  <c r="U61" i="1"/>
  <c r="E27" i="14"/>
  <c r="P22" i="14"/>
  <c r="U57" i="1"/>
  <c r="G40" i="1"/>
  <c r="U40" i="1"/>
  <c r="R40" i="1"/>
  <c r="U39" i="1"/>
  <c r="R39" i="1"/>
  <c r="U45" i="1"/>
  <c r="R45" i="1"/>
  <c r="U43" i="1"/>
  <c r="R43" i="1"/>
  <c r="K19" i="1"/>
  <c r="J19" i="1"/>
  <c r="G45" i="1"/>
  <c r="G23" i="1"/>
  <c r="G43" i="1"/>
  <c r="G39" i="1"/>
  <c r="H18" i="1"/>
  <c r="K18" i="1"/>
  <c r="H64" i="1"/>
  <c r="H19" i="1"/>
  <c r="B30" i="1"/>
  <c r="J18" i="1"/>
  <c r="I18" i="1"/>
  <c r="G60" i="1"/>
  <c r="I64" i="1"/>
  <c r="K64" i="1"/>
  <c r="L51" i="1"/>
  <c r="G57" i="1"/>
  <c r="R60" i="1"/>
  <c r="R61" i="1" s="1"/>
  <c r="R67" i="1"/>
  <c r="N63" i="1"/>
  <c r="H63" i="1"/>
  <c r="R62" i="1"/>
  <c r="P6" i="1"/>
  <c r="O38" i="1" s="1"/>
  <c r="U38" i="1" s="1"/>
  <c r="U74" i="1"/>
  <c r="U77" i="1" s="1"/>
  <c r="J64" i="1"/>
  <c r="I19" i="1"/>
  <c r="I63" i="1"/>
  <c r="P9" i="1"/>
  <c r="K63" i="1"/>
  <c r="P4" i="1"/>
  <c r="Q44" i="1" s="1"/>
  <c r="U44" i="1" s="1"/>
  <c r="K62" i="1"/>
  <c r="L62" i="1" s="1"/>
  <c r="O9" i="1"/>
  <c r="C27" i="14"/>
  <c r="D27" i="14"/>
  <c r="T74" i="1"/>
  <c r="T77" i="1" s="1"/>
  <c r="P47" i="1"/>
  <c r="J63" i="1"/>
  <c r="O8" i="1"/>
  <c r="Q49" i="1" s="1"/>
  <c r="M63" i="1"/>
  <c r="U17" i="1"/>
  <c r="O63" i="1"/>
  <c r="N9" i="1"/>
  <c r="U63" i="1" l="1"/>
  <c r="D53" i="14"/>
  <c r="C53" i="14"/>
  <c r="D40" i="14"/>
  <c r="C40" i="14"/>
  <c r="N57" i="14"/>
  <c r="I61" i="14" s="1"/>
  <c r="I62" i="14" s="1"/>
  <c r="J60" i="14" s="1"/>
  <c r="P29" i="14"/>
  <c r="X19" i="14"/>
  <c r="Q22" i="14"/>
  <c r="Q56" i="14" s="1"/>
  <c r="Q57" i="14" s="1"/>
  <c r="D31" i="14"/>
  <c r="C31" i="14"/>
  <c r="C39" i="14"/>
  <c r="D39" i="14"/>
  <c r="R20" i="14"/>
  <c r="P28" i="14"/>
  <c r="C32" i="14"/>
  <c r="D32" i="14"/>
  <c r="O55" i="14"/>
  <c r="C50" i="14"/>
  <c r="D50" i="14"/>
  <c r="R22" i="14"/>
  <c r="L18" i="1"/>
  <c r="L19" i="1"/>
  <c r="P50" i="1"/>
  <c r="O50" i="1"/>
  <c r="U50" i="1" s="1"/>
  <c r="R44" i="1"/>
  <c r="Q50" i="1"/>
  <c r="G64" i="1"/>
  <c r="G63" i="1"/>
  <c r="G18" i="1"/>
  <c r="G19" i="1"/>
  <c r="G30" i="1"/>
  <c r="O47" i="1"/>
  <c r="U47" i="1" s="1"/>
  <c r="J20" i="1"/>
  <c r="G44" i="1"/>
  <c r="R63" i="1"/>
  <c r="L64" i="1"/>
  <c r="G62" i="1"/>
  <c r="Q38" i="1"/>
  <c r="L63" i="1"/>
  <c r="J68" i="1"/>
  <c r="U19" i="1"/>
  <c r="I20" i="1"/>
  <c r="Q46" i="1"/>
  <c r="U46" i="1" s="1"/>
  <c r="Q36" i="1"/>
  <c r="U36" i="1" s="1"/>
  <c r="Q41" i="1"/>
  <c r="U41" i="1" s="1"/>
  <c r="Q42" i="1"/>
  <c r="U42" i="1" s="1"/>
  <c r="K20" i="1"/>
  <c r="Q37" i="1"/>
  <c r="U37" i="1" s="1"/>
  <c r="U18" i="1"/>
  <c r="H20" i="1"/>
  <c r="I68" i="1"/>
  <c r="R27" i="14" l="1"/>
  <c r="S20" i="14"/>
  <c r="S22" i="14"/>
  <c r="X22" i="14" s="1"/>
  <c r="E22" i="14" s="1"/>
  <c r="E19" i="14"/>
  <c r="P30" i="14"/>
  <c r="R56" i="14"/>
  <c r="R57" i="14" s="1"/>
  <c r="J62" i="14"/>
  <c r="J61" i="14"/>
  <c r="R49" i="1"/>
  <c r="R50" i="1"/>
  <c r="R38" i="1"/>
  <c r="G36" i="1"/>
  <c r="R36" i="1"/>
  <c r="G41" i="1"/>
  <c r="R41" i="1"/>
  <c r="G37" i="1"/>
  <c r="R37" i="1"/>
  <c r="G42" i="1"/>
  <c r="R42" i="1"/>
  <c r="G46" i="1"/>
  <c r="R46" i="1"/>
  <c r="G49" i="1"/>
  <c r="G20" i="1"/>
  <c r="G38" i="1"/>
  <c r="K61" i="1"/>
  <c r="K74" i="1" s="1"/>
  <c r="L20" i="1"/>
  <c r="Q47" i="1"/>
  <c r="G47" i="1" s="1"/>
  <c r="U20" i="1"/>
  <c r="D19" i="14" l="1"/>
  <c r="C19" i="14"/>
  <c r="D22" i="14"/>
  <c r="C22" i="14"/>
  <c r="X20" i="14"/>
  <c r="S23" i="14"/>
  <c r="X23" i="14" s="1"/>
  <c r="E23" i="14" s="1"/>
  <c r="S26" i="14"/>
  <c r="X26" i="14" s="1"/>
  <c r="E26" i="14" s="1"/>
  <c r="S25" i="14"/>
  <c r="X25" i="14" s="1"/>
  <c r="E25" i="14" s="1"/>
  <c r="S21" i="14"/>
  <c r="X21" i="14" s="1"/>
  <c r="E21" i="14" s="1"/>
  <c r="S24" i="14"/>
  <c r="X24" i="14" s="1"/>
  <c r="E24" i="14" s="1"/>
  <c r="R47" i="1"/>
  <c r="C23" i="14" l="1"/>
  <c r="D23" i="14"/>
  <c r="D24" i="14"/>
  <c r="C24" i="14"/>
  <c r="C21" i="14"/>
  <c r="D21" i="14"/>
  <c r="S56" i="14"/>
  <c r="S57" i="14" s="1"/>
  <c r="C25" i="14"/>
  <c r="D25" i="14"/>
  <c r="E20" i="14"/>
  <c r="X56" i="14"/>
  <c r="X57" i="14" s="1"/>
  <c r="C26" i="14"/>
  <c r="D26" i="14"/>
  <c r="K77" i="1"/>
  <c r="M51" i="1"/>
  <c r="D20" i="14" l="1"/>
  <c r="D56" i="14" s="1"/>
  <c r="C20" i="14"/>
  <c r="C56" i="14" s="1"/>
  <c r="E56" i="14"/>
  <c r="G61" i="1"/>
  <c r="I61" i="1"/>
  <c r="L61" i="1"/>
  <c r="L74" i="1" s="1"/>
  <c r="J61" i="1"/>
  <c r="J5" i="14" l="1"/>
  <c r="J7" i="14"/>
  <c r="I74" i="1"/>
  <c r="I77" i="1" s="1"/>
  <c r="J74" i="1"/>
  <c r="J77" i="1" s="1"/>
  <c r="H77" i="1"/>
  <c r="N68" i="1"/>
  <c r="O68" i="1"/>
  <c r="U68" i="1" l="1"/>
  <c r="R68" i="1" l="1"/>
  <c r="G68" i="1"/>
  <c r="M74" i="1"/>
  <c r="M77" i="1" s="1"/>
  <c r="N51" i="1"/>
  <c r="N74" i="1" l="1"/>
  <c r="N77" i="1" s="1"/>
  <c r="G50" i="1"/>
  <c r="O51" i="1"/>
  <c r="U51" i="1" s="1"/>
  <c r="O74" i="1" l="1"/>
  <c r="O77" i="1" s="1"/>
  <c r="M78" i="1" s="1"/>
  <c r="P51" i="1"/>
  <c r="P74" i="1" l="1"/>
  <c r="P77" i="1" s="1"/>
  <c r="Q51" i="1"/>
  <c r="R51" i="1" l="1"/>
  <c r="G51" i="1"/>
  <c r="G74" i="1" s="1"/>
  <c r="Q74" i="1"/>
  <c r="Q77" i="1" s="1"/>
</calcChain>
</file>

<file path=xl/comments1.xml><?xml version="1.0" encoding="utf-8"?>
<comments xmlns="http://schemas.openxmlformats.org/spreadsheetml/2006/main">
  <authors>
    <author>Jannik Toft Andersen</author>
    <author>bruger</author>
    <author xml:space="preserve">Jannik Andersen </author>
  </authors>
  <commentList>
    <comment ref="R1" authorId="0">
      <text>
        <r>
          <rPr>
            <b/>
            <sz val="9"/>
            <color indexed="81"/>
            <rFont val="Tahoma"/>
            <family val="2"/>
          </rPr>
          <t>Jannik Toft Andersen:</t>
        </r>
        <r>
          <rPr>
            <sz val="9"/>
            <color indexed="81"/>
            <rFont val="Tahoma"/>
            <family val="2"/>
          </rPr>
          <t xml:space="preserve">
overvej om tidsfordelingsnøglen kunne være en bedre nøgle end vores fordelingsnøgle til øvrige omkostningerne. </t>
        </r>
      </text>
    </comment>
    <comment ref="L2" authorId="0">
      <text>
        <r>
          <rPr>
            <b/>
            <sz val="9"/>
            <color indexed="81"/>
            <rFont val="Tahoma"/>
            <family val="2"/>
          </rPr>
          <t>Jannik Toft Andersen:</t>
        </r>
        <r>
          <rPr>
            <sz val="9"/>
            <color indexed="81"/>
            <rFont val="Tahoma"/>
            <family val="2"/>
          </rPr>
          <t xml:space="preserve">
Vi har brugt 2009 tal for produktion</t>
        </r>
      </text>
    </comment>
    <comment ref="M7" authorId="0">
      <text>
        <r>
          <rPr>
            <b/>
            <sz val="9"/>
            <color indexed="81"/>
            <rFont val="Tahoma"/>
            <family val="2"/>
          </rPr>
          <t>Jannik Toft Andersen:</t>
        </r>
        <r>
          <rPr>
            <sz val="9"/>
            <color indexed="81"/>
            <rFont val="Tahoma"/>
            <family val="2"/>
          </rPr>
          <t xml:space="preserve">
herunder køling</t>
        </r>
      </text>
    </comment>
    <comment ref="L8" authorId="0">
      <text>
        <r>
          <rPr>
            <b/>
            <sz val="9"/>
            <color indexed="81"/>
            <rFont val="Tahoma"/>
            <family val="2"/>
          </rPr>
          <t xml:space="preserve">Jannik Toft Andersen: </t>
        </r>
        <r>
          <rPr>
            <sz val="9"/>
            <color indexed="81"/>
            <rFont val="Tahoma"/>
            <family val="2"/>
          </rPr>
          <t xml:space="preserve">Herunder karrusel
</t>
        </r>
      </text>
    </comment>
    <comment ref="P10" authorId="0">
      <text>
        <r>
          <rPr>
            <b/>
            <sz val="9"/>
            <color indexed="81"/>
            <rFont val="Tahoma"/>
            <family val="2"/>
          </rPr>
          <t>Jannik Toft Andersen:</t>
        </r>
      </text>
    </comment>
    <comment ref="H11" authorId="0">
      <text>
        <r>
          <rPr>
            <b/>
            <sz val="9"/>
            <color indexed="81"/>
            <rFont val="Tahoma"/>
            <family val="2"/>
          </rPr>
          <t xml:space="preserve">Jannik Toft Andersen: </t>
        </r>
        <r>
          <rPr>
            <sz val="9"/>
            <color indexed="81"/>
            <rFont val="Tahoma"/>
            <family val="2"/>
          </rPr>
          <t xml:space="preserve">se arket arealfordeling
</t>
        </r>
      </text>
    </comment>
    <comment ref="G16" authorId="0">
      <text>
        <r>
          <rPr>
            <b/>
            <sz val="9"/>
            <color indexed="81"/>
            <rFont val="Tahoma"/>
            <family val="2"/>
          </rPr>
          <t>Jannik Toft Andersen:</t>
        </r>
        <r>
          <rPr>
            <sz val="9"/>
            <color indexed="81"/>
            <rFont val="Tahoma"/>
            <family val="2"/>
          </rPr>
          <t xml:space="preserve">
Omkostningsarter, der går på tværs af stald og mark aktiviteterne, der ikke lader sig fordele til mark og stald ud via konteringen i regnskabet. Ex lønomkostninger</t>
        </r>
      </text>
    </comment>
    <comment ref="H16" authorId="0">
      <text>
        <r>
          <rPr>
            <b/>
            <sz val="9"/>
            <color indexed="81"/>
            <rFont val="Tahoma"/>
            <family val="2"/>
          </rPr>
          <t>Jannik Toft Andersen:</t>
        </r>
        <r>
          <rPr>
            <sz val="9"/>
            <color indexed="81"/>
            <rFont val="Tahoma"/>
            <family val="2"/>
          </rPr>
          <t xml:space="preserve">
herunder oplagre
</t>
        </r>
      </text>
    </comment>
    <comment ref="K16" authorId="1">
      <text>
        <r>
          <rPr>
            <b/>
            <sz val="9"/>
            <color indexed="81"/>
            <rFont val="Tahoma"/>
            <family val="2"/>
          </rPr>
          <t>bruger:</t>
        </r>
        <r>
          <rPr>
            <sz val="9"/>
            <color indexed="81"/>
            <rFont val="Tahoma"/>
            <family val="2"/>
          </rPr>
          <t xml:space="preserve"> Inklusiv vedvarende græs
</t>
        </r>
      </text>
    </comment>
    <comment ref="L16" authorId="0">
      <text>
        <r>
          <rPr>
            <b/>
            <sz val="9"/>
            <color indexed="81"/>
            <rFont val="Tahoma"/>
            <family val="2"/>
          </rPr>
          <t xml:space="preserve">Jannik Toft Andersen
</t>
        </r>
        <r>
          <rPr>
            <sz val="9"/>
            <color indexed="81"/>
            <rFont val="Tahoma"/>
            <family val="2"/>
          </rPr>
          <t xml:space="preserve">Beløbene her skal fordeles ud ved hjælp på markaktiviteterne vha. af en fordelingsnøgle
</t>
        </r>
      </text>
    </comment>
    <comment ref="M16" authorId="2">
      <text>
        <r>
          <rPr>
            <b/>
            <sz val="8"/>
            <color indexed="81"/>
            <rFont val="Tahoma"/>
            <family val="2"/>
          </rPr>
          <t xml:space="preserve">Jannik Andersen : Inklusiv selve foderet, lager og udfodring. </t>
        </r>
      </text>
    </comment>
    <comment ref="R16" authorId="0">
      <text>
        <r>
          <rPr>
            <b/>
            <sz val="9"/>
            <color indexed="81"/>
            <rFont val="Tahoma"/>
            <family val="2"/>
          </rPr>
          <t>Jannik Toft Andersen:</t>
        </r>
        <r>
          <rPr>
            <sz val="9"/>
            <color indexed="81"/>
            <rFont val="Tahoma"/>
            <family val="2"/>
          </rPr>
          <t xml:space="preserve">
Beløbene her skal fordeles ud ved hjælp på staldaktiviteterne vha. af en fordelingsnøgle</t>
        </r>
      </text>
    </comment>
    <comment ref="T16" authorId="0">
      <text>
        <r>
          <rPr>
            <b/>
            <sz val="9"/>
            <color indexed="81"/>
            <rFont val="Tahoma"/>
            <family val="2"/>
          </rPr>
          <t>Jannik Toft Andersen:</t>
        </r>
        <r>
          <rPr>
            <sz val="9"/>
            <color indexed="81"/>
            <rFont val="Tahoma"/>
            <family val="2"/>
          </rPr>
          <t xml:space="preserve">
Omkostningerne her skal IKKE belaste de øvrige aktivitet.
Herunder omkostninger i forbindelse med gylle til salg og bortgivelse</t>
        </r>
      </text>
    </comment>
    <comment ref="U16" authorId="0">
      <text>
        <r>
          <rPr>
            <b/>
            <sz val="9"/>
            <color indexed="81"/>
            <rFont val="Tahoma"/>
            <family val="2"/>
          </rPr>
          <t>Jannik Toft Andersen:</t>
        </r>
        <r>
          <rPr>
            <sz val="9"/>
            <color indexed="81"/>
            <rFont val="Tahoma"/>
            <family val="2"/>
          </rPr>
          <t xml:space="preserve">
til afstemningsformål</t>
        </r>
      </text>
    </comment>
    <comment ref="A18" authorId="0">
      <text>
        <r>
          <rPr>
            <b/>
            <sz val="9"/>
            <color indexed="81"/>
            <rFont val="Tahoma"/>
            <family val="2"/>
          </rPr>
          <t xml:space="preserve">Jannik Toft Andersen: </t>
        </r>
        <r>
          <rPr>
            <sz val="9"/>
            <color indexed="81"/>
            <rFont val="Tahoma"/>
            <family val="2"/>
          </rPr>
          <t>Da jeg ikke har revisionslisten eller mere detaljeret gødningsregnskab er dette blevet fordelt ud efter antal kørte HA</t>
        </r>
      </text>
    </comment>
    <comment ref="B18" authorId="0">
      <text>
        <r>
          <rPr>
            <b/>
            <sz val="9"/>
            <color indexed="81"/>
            <rFont val="Tahoma"/>
            <family val="2"/>
          </rPr>
          <t>Jannik Toft Andersen:</t>
        </r>
        <r>
          <rPr>
            <sz val="9"/>
            <color indexed="81"/>
            <rFont val="Tahoma"/>
            <family val="2"/>
          </rPr>
          <t xml:space="preserve">
fordels ud af planteavlskonsulent via markregisteringerne</t>
        </r>
      </text>
    </comment>
    <comment ref="B19" authorId="0">
      <text>
        <r>
          <rPr>
            <b/>
            <sz val="9"/>
            <color indexed="81"/>
            <rFont val="Tahoma"/>
            <family val="2"/>
          </rPr>
          <t>Jannik Toft Andersen:</t>
        </r>
        <r>
          <rPr>
            <sz val="9"/>
            <color indexed="81"/>
            <rFont val="Tahoma"/>
            <family val="2"/>
          </rPr>
          <t xml:space="preserve">
ditto celle f14</t>
        </r>
      </text>
    </comment>
    <comment ref="A20" authorId="0">
      <text>
        <r>
          <rPr>
            <b/>
            <sz val="9"/>
            <color indexed="81"/>
            <rFont val="Tahoma"/>
            <family val="2"/>
          </rPr>
          <t>Jannik Toft Andersen:</t>
        </r>
        <r>
          <rPr>
            <sz val="9"/>
            <color indexed="81"/>
            <rFont val="Tahoma"/>
            <family val="2"/>
          </rPr>
          <t xml:space="preserve">
Stykomkostninger mark fordeles ud via mængder og HA fra (ingen forslag)
fordeles på afgrødeniveau, men ikke på markniveau</t>
        </r>
      </text>
    </comment>
    <comment ref="B23" authorId="0">
      <text>
        <r>
          <rPr>
            <b/>
            <sz val="9"/>
            <color indexed="81"/>
            <rFont val="Tahoma"/>
            <family val="2"/>
          </rPr>
          <t>Jannik Toft Andersen:</t>
        </r>
        <r>
          <rPr>
            <sz val="9"/>
            <color indexed="81"/>
            <rFont val="Tahoma"/>
            <family val="2"/>
          </rPr>
          <t xml:space="preserve">
fordeles af kvægbrugsrådgiver
</t>
        </r>
      </text>
    </comment>
    <comment ref="A31" authorId="0">
      <text>
        <r>
          <rPr>
            <b/>
            <sz val="9"/>
            <color indexed="81"/>
            <rFont val="Tahoma"/>
            <family val="2"/>
          </rPr>
          <t>Jannik Toft Andersen:</t>
        </r>
        <r>
          <rPr>
            <sz val="9"/>
            <color indexed="81"/>
            <rFont val="Tahoma"/>
            <family val="2"/>
          </rPr>
          <t xml:space="preserve">
i første omgang anvendes intern overførselspris 0,95 kr./ FE  </t>
        </r>
      </text>
    </comment>
    <comment ref="A32" authorId="0">
      <text>
        <r>
          <rPr>
            <b/>
            <sz val="9"/>
            <color indexed="81"/>
            <rFont val="Tahoma"/>
            <family val="2"/>
          </rPr>
          <t>Jannik Toft Andersen:</t>
        </r>
        <r>
          <rPr>
            <sz val="9"/>
            <color indexed="81"/>
            <rFont val="Tahoma"/>
            <family val="2"/>
          </rPr>
          <t xml:space="preserve">
se grovfoder majs</t>
        </r>
      </text>
    </comment>
    <comment ref="A35" authorId="0">
      <text>
        <r>
          <rPr>
            <b/>
            <sz val="9"/>
            <color indexed="81"/>
            <rFont val="Tahoma"/>
            <family val="2"/>
          </rPr>
          <t>Jannik Toft Andersen:</t>
        </r>
        <r>
          <rPr>
            <sz val="9"/>
            <color indexed="81"/>
            <rFont val="Tahoma"/>
            <family val="2"/>
          </rPr>
          <t xml:space="preserve">
Via mængder i dlbr KvægIT kræver DLBR foderoptimering og produktionsopg.. 6-11 EFK'ere årligt, og min. Èn per foderskift </t>
        </r>
      </text>
    </comment>
    <comment ref="B35" authorId="0">
      <text>
        <r>
          <rPr>
            <b/>
            <sz val="9"/>
            <color indexed="81"/>
            <rFont val="Tahoma"/>
            <family val="2"/>
          </rPr>
          <t>Jannik Toft Andersen:</t>
        </r>
        <r>
          <rPr>
            <sz val="9"/>
            <color indexed="81"/>
            <rFont val="Tahoma"/>
            <family val="2"/>
          </rPr>
          <t xml:space="preserve">
l18 gælder for alt foderomkostninger
</t>
        </r>
      </text>
    </comment>
    <comment ref="A36" authorId="0">
      <text>
        <r>
          <rPr>
            <b/>
            <sz val="9"/>
            <color indexed="81"/>
            <rFont val="Tahoma"/>
            <family val="2"/>
          </rPr>
          <t>Jannik Toft Andersen:</t>
        </r>
        <r>
          <rPr>
            <sz val="9"/>
            <color indexed="81"/>
            <rFont val="Tahoma"/>
            <family val="2"/>
          </rPr>
          <t xml:space="preserve">
Registreringer i KvægIT 
Enten 85/10/5 på henholdsvis ko/kvie/kalv eller 200 kr. per kvie, 100 kr. per kalv -resten på køerne</t>
        </r>
      </text>
    </comment>
    <comment ref="O36" authorId="0">
      <text>
        <r>
          <rPr>
            <b/>
            <sz val="9"/>
            <color indexed="81"/>
            <rFont val="Tahoma"/>
            <family val="2"/>
          </rPr>
          <t>Jannik Toft Andersen:</t>
        </r>
        <r>
          <rPr>
            <sz val="9"/>
            <color indexed="81"/>
            <rFont val="Tahoma"/>
            <family val="2"/>
          </rPr>
          <t xml:space="preserve">
anvendt standardfordelingsnøglen
</t>
        </r>
      </text>
    </comment>
    <comment ref="A37" authorId="0">
      <text>
        <r>
          <rPr>
            <b/>
            <sz val="9"/>
            <color indexed="81"/>
            <rFont val="Tahoma"/>
            <family val="2"/>
          </rPr>
          <t>Jannik Toft Andersen:</t>
        </r>
        <r>
          <rPr>
            <sz val="9"/>
            <color indexed="81"/>
            <rFont val="Tahoma"/>
            <family val="2"/>
          </rPr>
          <t xml:space="preserve">
Se "Dyrlæge"</t>
        </r>
      </text>
    </comment>
    <comment ref="O37" authorId="0">
      <text>
        <r>
          <rPr>
            <b/>
            <sz val="9"/>
            <color indexed="81"/>
            <rFont val="Tahoma"/>
            <family val="2"/>
          </rPr>
          <t>Jannik Toft Andersen:</t>
        </r>
        <r>
          <rPr>
            <sz val="9"/>
            <color indexed="81"/>
            <rFont val="Tahoma"/>
            <family val="2"/>
          </rPr>
          <t xml:space="preserve">
anvendt standard fordelingsnøglen</t>
        </r>
      </text>
    </comment>
    <comment ref="A38" authorId="0">
      <text>
        <r>
          <rPr>
            <b/>
            <sz val="9"/>
            <color indexed="81"/>
            <rFont val="Tahoma"/>
            <family val="2"/>
          </rPr>
          <t>Jannik Toft Andersen:</t>
        </r>
        <r>
          <rPr>
            <sz val="9"/>
            <color indexed="81"/>
            <rFont val="Tahoma"/>
            <family val="2"/>
          </rPr>
          <t xml:space="preserve">
Antal dyr der insemineres kendes dette ikke brug 60/40 på henholdsvis ko/kvie som fordelingsnøgle</t>
        </r>
      </text>
    </comment>
    <comment ref="A39" authorId="0">
      <text>
        <r>
          <rPr>
            <b/>
            <sz val="9"/>
            <color indexed="81"/>
            <rFont val="Tahoma"/>
            <family val="2"/>
          </rPr>
          <t>Jannik Toft Andersen:</t>
        </r>
        <r>
          <rPr>
            <sz val="9"/>
            <color indexed="81"/>
            <rFont val="Tahoma"/>
            <family val="2"/>
          </rPr>
          <t xml:space="preserve">
Denne post omfatter pasningsaftale kvier</t>
        </r>
      </text>
    </comment>
    <comment ref="A40" authorId="0">
      <text>
        <r>
          <rPr>
            <b/>
            <sz val="9"/>
            <color indexed="81"/>
            <rFont val="Tahoma"/>
            <family val="2"/>
          </rPr>
          <t>Jannik Toft Andersen:</t>
        </r>
        <r>
          <rPr>
            <sz val="9"/>
            <color indexed="81"/>
            <rFont val="Tahoma"/>
            <family val="2"/>
          </rPr>
          <t xml:space="preserve">
antal malkekøer 100 % på køerne </t>
        </r>
      </text>
    </comment>
    <comment ref="A41" authorId="0">
      <text>
        <r>
          <rPr>
            <b/>
            <sz val="9"/>
            <color indexed="81"/>
            <rFont val="Tahoma"/>
            <family val="2"/>
          </rPr>
          <t>Jannik Toft Andersen:</t>
        </r>
        <r>
          <rPr>
            <sz val="9"/>
            <color indexed="81"/>
            <rFont val="Tahoma"/>
            <family val="2"/>
          </rPr>
          <t xml:space="preserve">
Herunder eget halm (17 øre per kg )
via normandele vurderes hos Videncentreret for Landbrug, Kvæg eller 85/10/5 på Ko/kvie/kalve</t>
        </r>
      </text>
    </comment>
    <comment ref="O41" authorId="0">
      <text>
        <r>
          <rPr>
            <b/>
            <sz val="9"/>
            <color indexed="81"/>
            <rFont val="Tahoma"/>
            <family val="2"/>
          </rPr>
          <t>Jannik Toft Andersen:</t>
        </r>
        <r>
          <rPr>
            <sz val="9"/>
            <color indexed="81"/>
            <rFont val="Tahoma"/>
            <family val="2"/>
          </rPr>
          <t xml:space="preserve">
anvendt standardfordelingsnøglen
</t>
        </r>
      </text>
    </comment>
    <comment ref="A42" authorId="0">
      <text>
        <r>
          <rPr>
            <b/>
            <sz val="9"/>
            <color indexed="81"/>
            <rFont val="Tahoma"/>
            <family val="2"/>
          </rPr>
          <t>Jannik Toft Andersen:</t>
        </r>
        <r>
          <rPr>
            <sz val="9"/>
            <color indexed="81"/>
            <rFont val="Tahoma"/>
            <family val="2"/>
          </rPr>
          <t xml:space="preserve">
85/10/5 på henholdsvis ko/kvie/kalv</t>
        </r>
      </text>
    </comment>
    <comment ref="B42" authorId="0">
      <text>
        <r>
          <rPr>
            <b/>
            <sz val="9"/>
            <color indexed="81"/>
            <rFont val="Tahoma"/>
            <family val="2"/>
          </rPr>
          <t>Jannik Toft Andersen</t>
        </r>
      </text>
    </comment>
    <comment ref="A43" authorId="0">
      <text>
        <r>
          <rPr>
            <b/>
            <sz val="9"/>
            <color indexed="81"/>
            <rFont val="Tahoma"/>
            <family val="2"/>
          </rPr>
          <t>Jannik Toft Andersen:</t>
        </r>
        <r>
          <rPr>
            <sz val="9"/>
            <color indexed="81"/>
            <rFont val="Tahoma"/>
            <family val="2"/>
          </rPr>
          <t xml:space="preserve">
antal køer, 100 % til køerne</t>
        </r>
      </text>
    </comment>
    <comment ref="A44" authorId="0">
      <text>
        <r>
          <rPr>
            <b/>
            <sz val="9"/>
            <color indexed="81"/>
            <rFont val="Tahoma"/>
            <family val="2"/>
          </rPr>
          <t>Jannik Toft Andersen:</t>
        </r>
        <r>
          <rPr>
            <sz val="9"/>
            <color indexed="81"/>
            <rFont val="Tahoma"/>
            <family val="2"/>
          </rPr>
          <t xml:space="preserve">
se dyrlæge</t>
        </r>
      </text>
    </comment>
    <comment ref="O44" authorId="0">
      <text>
        <r>
          <rPr>
            <b/>
            <sz val="9"/>
            <color indexed="81"/>
            <rFont val="Tahoma"/>
            <family val="2"/>
          </rPr>
          <t>Jannik Toft Andersen:</t>
        </r>
        <r>
          <rPr>
            <sz val="9"/>
            <color indexed="81"/>
            <rFont val="Tahoma"/>
            <family val="2"/>
          </rPr>
          <t xml:space="preserve">
anvendt standardfordelingsnøglen
</t>
        </r>
      </text>
    </comment>
    <comment ref="A45" authorId="0">
      <text>
        <r>
          <rPr>
            <b/>
            <sz val="9"/>
            <color indexed="81"/>
            <rFont val="Tahoma"/>
            <family val="2"/>
          </rPr>
          <t>Jannik Toft Andersen:</t>
        </r>
        <r>
          <rPr>
            <sz val="9"/>
            <color indexed="81"/>
            <rFont val="Tahoma"/>
            <family val="2"/>
          </rPr>
          <t xml:space="preserve">
Det tages der stilling til i den konkrete sag</t>
        </r>
      </text>
    </comment>
    <comment ref="B45" authorId="0">
      <text>
        <r>
          <rPr>
            <b/>
            <sz val="9"/>
            <color indexed="81"/>
            <rFont val="Tahoma"/>
            <family val="2"/>
          </rPr>
          <t>Jannik Toft Andersen:</t>
        </r>
        <r>
          <rPr>
            <sz val="9"/>
            <color indexed="81"/>
            <rFont val="Tahoma"/>
            <family val="2"/>
          </rPr>
          <t xml:space="preserve">
Fordelt i det specifikke tilfælde 50/50 </t>
        </r>
      </text>
    </comment>
    <comment ref="A46" authorId="0">
      <text>
        <r>
          <rPr>
            <b/>
            <sz val="9"/>
            <color indexed="81"/>
            <rFont val="Tahoma"/>
            <family val="2"/>
          </rPr>
          <t>Jannik Toft Andersen:</t>
        </r>
        <r>
          <rPr>
            <sz val="9"/>
            <color indexed="81"/>
            <rFont val="Tahoma"/>
            <family val="2"/>
          </rPr>
          <t xml:space="preserve">
%-fordeling 85/10/5 på ko/kvie/kalv</t>
        </r>
      </text>
    </comment>
    <comment ref="O46" authorId="0">
      <text>
        <r>
          <rPr>
            <b/>
            <sz val="9"/>
            <color indexed="81"/>
            <rFont val="Tahoma"/>
            <family val="2"/>
          </rPr>
          <t>Jannik Toft Andersen:</t>
        </r>
        <r>
          <rPr>
            <sz val="9"/>
            <color indexed="81"/>
            <rFont val="Tahoma"/>
            <family val="2"/>
          </rPr>
          <t xml:space="preserve">
anvendt standardfordelingsnøglen
</t>
        </r>
      </text>
    </comment>
    <comment ref="A48" authorId="0">
      <text>
        <r>
          <rPr>
            <b/>
            <sz val="9"/>
            <color indexed="81"/>
            <rFont val="Tahoma"/>
            <family val="2"/>
          </rPr>
          <t>Jannik Toft Andersen:</t>
        </r>
        <r>
          <rPr>
            <sz val="9"/>
            <color indexed="81"/>
            <rFont val="Tahoma"/>
            <family val="2"/>
          </rPr>
          <t xml:space="preserve">
Via registreringer i MarkOnline og timer per liter
Derudover angiver kvæg rådgiveren. Hvor meget brændstof, der er anvendt til staldaktiviteterne. Resten må vedrøre marken. </t>
        </r>
      </text>
    </comment>
    <comment ref="R48" authorId="0">
      <text>
        <r>
          <rPr>
            <b/>
            <sz val="9"/>
            <color indexed="81"/>
            <rFont val="Tahoma"/>
            <family val="2"/>
          </rPr>
          <t>Jannik Toft Andersen:</t>
        </r>
        <r>
          <rPr>
            <sz val="9"/>
            <color indexed="81"/>
            <rFont val="Tahoma"/>
            <family val="2"/>
          </rPr>
          <t xml:space="preserve">
ren vilkårligt skøn</t>
        </r>
      </text>
    </comment>
    <comment ref="A49" authorId="0">
      <text>
        <r>
          <rPr>
            <b/>
            <sz val="9"/>
            <color indexed="81"/>
            <rFont val="Tahoma"/>
            <family val="2"/>
          </rPr>
          <t xml:space="preserve">Jannik Toft Andersen: 
</t>
        </r>
        <r>
          <rPr>
            <sz val="9"/>
            <color indexed="81"/>
            <rFont val="Tahoma"/>
            <family val="2"/>
          </rPr>
          <t xml:space="preserve">Elforbrug i stalden fordeles med 2/3 ved malkestald eller karrusel og 3/4 ved AMS på malkningsaktiviteten.
Jf. projektet "klimavenlige kvægproduktion" 
 Resten fordeles ned på dyregrupperne efter andel af samlede individer i stalden
Med hensyn til markvanding. Selvstændig måler eller vandingsregnskab. Hvis disse eksisterer. </t>
        </r>
      </text>
    </comment>
    <comment ref="B49" authorId="0">
      <text>
        <r>
          <rPr>
            <b/>
            <sz val="9"/>
            <color indexed="81"/>
            <rFont val="Tahoma"/>
            <family val="2"/>
          </rPr>
          <t>Jannik Toft Andersen:</t>
        </r>
        <r>
          <rPr>
            <sz val="9"/>
            <color indexed="81"/>
            <rFont val="Tahoma"/>
            <family val="2"/>
          </rPr>
          <t xml:space="preserve">
Vær opmærksom på, hvis, der er vanding at fordele dette over på mark
en </t>
        </r>
      </text>
    </comment>
    <comment ref="A50" authorId="0">
      <text>
        <r>
          <rPr>
            <b/>
            <sz val="9"/>
            <color indexed="81"/>
            <rFont val="Tahoma"/>
            <family val="2"/>
          </rPr>
          <t>Jannik Toft Andersen:</t>
        </r>
        <r>
          <rPr>
            <sz val="9"/>
            <color indexed="81"/>
            <rFont val="Tahoma"/>
            <family val="2"/>
          </rPr>
          <t xml:space="preserve">
Samme fordelingsnøgle som el</t>
        </r>
      </text>
    </comment>
    <comment ref="R50" authorId="0">
      <text>
        <r>
          <rPr>
            <b/>
            <sz val="9"/>
            <color indexed="81"/>
            <rFont val="Tahoma"/>
            <family val="2"/>
          </rPr>
          <t>Jannik Toft Andersen:</t>
        </r>
        <r>
          <rPr>
            <sz val="9"/>
            <color indexed="81"/>
            <rFont val="Tahoma"/>
            <family val="2"/>
          </rPr>
          <t xml:space="preserve">
samme fordelingsnøgle
som el. hvis dette ikke er udspecificeret, så behandl vand som øvrig kapacitetsomkostning</t>
        </r>
      </text>
    </comment>
    <comment ref="A57" authorId="0">
      <text>
        <r>
          <rPr>
            <b/>
            <sz val="9"/>
            <color indexed="81"/>
            <rFont val="Tahoma"/>
            <family val="2"/>
          </rPr>
          <t>Jannik Toft Andersen:</t>
        </r>
        <r>
          <rPr>
            <sz val="9"/>
            <color indexed="81"/>
            <rFont val="Tahoma"/>
            <family val="2"/>
          </rPr>
          <t xml:space="preserve">
Ud fra specifikationer på regningerne. </t>
        </r>
      </text>
    </comment>
    <comment ref="B57" authorId="0">
      <text>
        <r>
          <rPr>
            <b/>
            <sz val="9"/>
            <color indexed="81"/>
            <rFont val="Tahoma"/>
            <family val="2"/>
          </rPr>
          <t>Jannik Toft Andersen:</t>
        </r>
        <r>
          <rPr>
            <sz val="9"/>
            <color indexed="81"/>
            <rFont val="Tahoma"/>
            <family val="2"/>
          </rPr>
          <t xml:space="preserve">
Fordeles af planteavlskonsulenten  kan dette ses af udspecificerede regninger?</t>
        </r>
      </text>
    </comment>
    <comment ref="A58" authorId="0">
      <text>
        <r>
          <rPr>
            <b/>
            <sz val="9"/>
            <color indexed="81"/>
            <rFont val="Tahoma"/>
            <family val="2"/>
          </rPr>
          <t>Jannik Toft Andersen:</t>
        </r>
        <r>
          <rPr>
            <sz val="9"/>
            <color indexed="81"/>
            <rFont val="Tahoma"/>
            <family val="2"/>
          </rPr>
          <t xml:space="preserve">
skal forblive på rest stald.</t>
        </r>
      </text>
    </comment>
    <comment ref="M58" authorId="0">
      <text>
        <r>
          <rPr>
            <b/>
            <sz val="9"/>
            <color indexed="81"/>
            <rFont val="Tahoma"/>
            <family val="2"/>
          </rPr>
          <t>Jannik Toft Andersen:</t>
        </r>
        <r>
          <rPr>
            <sz val="9"/>
            <color indexed="81"/>
            <rFont val="Tahoma"/>
            <family val="2"/>
          </rPr>
          <t xml:space="preserve">
en tredjedel på hver er specifik på ejendommen, da denne  ikke har ungdyr</t>
        </r>
      </text>
    </comment>
    <comment ref="R58" authorId="0">
      <text>
        <r>
          <rPr>
            <b/>
            <sz val="9"/>
            <color indexed="81"/>
            <rFont val="Tahoma"/>
            <family val="2"/>
          </rPr>
          <t>Jannik Toft Andersen:</t>
        </r>
        <r>
          <rPr>
            <sz val="9"/>
            <color indexed="81"/>
            <rFont val="Tahoma"/>
            <family val="2"/>
          </rPr>
          <t xml:space="preserve">
skal blive på ufordelt
</t>
        </r>
      </text>
    </comment>
    <comment ref="A59" authorId="0">
      <text>
        <r>
          <rPr>
            <b/>
            <sz val="9"/>
            <color indexed="81"/>
            <rFont val="Tahoma"/>
            <family val="2"/>
          </rPr>
          <t>Jannik Toft Andersen:</t>
        </r>
        <r>
          <rPr>
            <sz val="9"/>
            <color indexed="81"/>
            <rFont val="Tahoma"/>
            <family val="2"/>
          </rPr>
          <t xml:space="preserve">
Via registreringer af anvendelse i MarkOnline.
Kørselstid på de forskellige markaktiviteter.</t>
        </r>
      </text>
    </comment>
    <comment ref="B59" authorId="0">
      <text>
        <r>
          <rPr>
            <b/>
            <sz val="9"/>
            <color indexed="81"/>
            <rFont val="Tahoma"/>
            <family val="2"/>
          </rPr>
          <t>Jannik Toft Andersen:</t>
        </r>
        <r>
          <rPr>
            <sz val="9"/>
            <color indexed="81"/>
            <rFont val="Tahoma"/>
            <family val="2"/>
          </rPr>
          <t xml:space="preserve">
fordeles af planteavlskonsulenten på baggrund af registreringerne i marken. 
Se ark "markredskaber; VAK-fordeling"</t>
        </r>
      </text>
    </comment>
    <comment ref="A60" authorId="0">
      <text>
        <r>
          <rPr>
            <b/>
            <sz val="9"/>
            <color indexed="81"/>
            <rFont val="Tahoma"/>
            <family val="2"/>
          </rPr>
          <t xml:space="preserve">Jannik Toft Andersen: 
</t>
        </r>
        <r>
          <rPr>
            <sz val="9"/>
            <color indexed="81"/>
            <rFont val="Tahoma"/>
            <family val="2"/>
          </rPr>
          <t>direkte kontering</t>
        </r>
      </text>
    </comment>
    <comment ref="A61" authorId="0">
      <text>
        <r>
          <rPr>
            <b/>
            <sz val="9"/>
            <color indexed="81"/>
            <rFont val="Tahoma"/>
            <family val="2"/>
          </rPr>
          <t>Jannik Toft Andersen:</t>
        </r>
        <r>
          <rPr>
            <sz val="9"/>
            <color indexed="81"/>
            <rFont val="Tahoma"/>
            <family val="2"/>
          </rPr>
          <t xml:space="preserve">
Markredskaber: via registreringer i MarkOnline. Ud fra registreringer af kørselstid
på de forskellige marktider.
Stald: Et konto pr. "inventargruppe". Skal fælge aktivitetsopdeling
hold op i mod anlægskartotek</t>
        </r>
      </text>
    </comment>
    <comment ref="A62" authorId="0">
      <text>
        <r>
          <rPr>
            <b/>
            <sz val="9"/>
            <color indexed="81"/>
            <rFont val="Tahoma"/>
            <family val="2"/>
          </rPr>
          <t>Jannik Toft Andersen:</t>
        </r>
        <r>
          <rPr>
            <sz val="9"/>
            <color indexed="81"/>
            <rFont val="Tahoma"/>
            <family val="2"/>
          </rPr>
          <t xml:space="preserve">
Tidsforbrug på de enkelte aktivitet %-fordeling fra tidsopgørelse af lønomkostninger.</t>
        </r>
      </text>
    </comment>
    <comment ref="B62" authorId="0">
      <text>
        <r>
          <rPr>
            <b/>
            <sz val="9"/>
            <color indexed="81"/>
            <rFont val="Tahoma"/>
            <family val="2"/>
          </rPr>
          <t>Jannik Toft Andersen:</t>
        </r>
        <r>
          <rPr>
            <sz val="9"/>
            <color indexed="81"/>
            <rFont val="Tahoma"/>
            <family val="2"/>
          </rPr>
          <t xml:space="preserve">
fordelt ud fra forholdet mellem mark og stald antages ingen tidsforbrug på administrative opgave.</t>
        </r>
      </text>
    </comment>
    <comment ref="C62" authorId="0">
      <text>
        <r>
          <rPr>
            <b/>
            <sz val="9"/>
            <color indexed="81"/>
            <rFont val="Tahoma"/>
            <family val="2"/>
          </rPr>
          <t>Jannik Toft Andersen:</t>
        </r>
        <r>
          <rPr>
            <sz val="9"/>
            <color indexed="81"/>
            <rFont val="Tahoma"/>
            <family val="2"/>
          </rPr>
          <t xml:space="preserve">
fordeles ned på aktiviteterne af planteavlskonsulenten</t>
        </r>
      </text>
    </comment>
    <comment ref="A63" authorId="0">
      <text>
        <r>
          <rPr>
            <b/>
            <sz val="9"/>
            <color indexed="81"/>
            <rFont val="Tahoma"/>
            <family val="2"/>
          </rPr>
          <t>Jannik Toft Andersen:</t>
        </r>
        <r>
          <rPr>
            <sz val="9"/>
            <color indexed="81"/>
            <rFont val="Tahoma"/>
            <family val="2"/>
          </rPr>
          <t xml:space="preserve">
anvendt årlig beløb. Anbefaling 450.000 for leder, og derefter 300.000 per fuldtidsårsværk. Vigtigt at alt ikke lønnet arbejdskraft på bedriften medtages.</t>
        </r>
      </text>
    </comment>
    <comment ref="A64" authorId="0">
      <text>
        <r>
          <rPr>
            <b/>
            <sz val="9"/>
            <color indexed="81"/>
            <rFont val="Tahoma"/>
            <family val="2"/>
          </rPr>
          <t>Jannik Toft Andersen:</t>
        </r>
        <r>
          <rPr>
            <sz val="9"/>
            <color indexed="81"/>
            <rFont val="Tahoma"/>
            <family val="2"/>
          </rPr>
          <t xml:space="preserve">
Skal typisk placeres under "generelle ledelsesmæssige og administrative opgaver"</t>
        </r>
      </text>
    </comment>
    <comment ref="C64" authorId="0">
      <text>
        <r>
          <rPr>
            <b/>
            <sz val="9"/>
            <color indexed="81"/>
            <rFont val="Tahoma"/>
            <family val="2"/>
          </rPr>
          <t>Jannik Toft Andersen:</t>
        </r>
        <r>
          <rPr>
            <sz val="9"/>
            <color indexed="81"/>
            <rFont val="Tahoma"/>
            <family val="2"/>
          </rPr>
          <t xml:space="preserve">
Ejendomsskat fordeles efter antal HA</t>
        </r>
      </text>
    </comment>
    <comment ref="E64" authorId="0">
      <text>
        <r>
          <rPr>
            <b/>
            <sz val="9"/>
            <color indexed="81"/>
            <rFont val="Tahoma"/>
            <family val="2"/>
          </rPr>
          <t>Jannik Toft Andersen:</t>
        </r>
        <r>
          <rPr>
            <sz val="9"/>
            <color indexed="81"/>
            <rFont val="Tahoma"/>
            <family val="2"/>
          </rPr>
          <t xml:space="preserve">
forsikringer + øvrige kapacitetsomkostninger.</t>
        </r>
      </text>
    </comment>
    <comment ref="A65" authorId="0">
      <text>
        <r>
          <rPr>
            <b/>
            <sz val="9"/>
            <color indexed="81"/>
            <rFont val="Tahoma"/>
            <family val="2"/>
          </rPr>
          <t>Jannik Toft Andersen:</t>
        </r>
        <r>
          <rPr>
            <sz val="9"/>
            <color indexed="81"/>
            <rFont val="Tahoma"/>
            <family val="2"/>
          </rPr>
          <t xml:space="preserve">
Via afskrivningsgrundlag fra anlægskartotek . Maskinhus efter ha mellem markaktiviteter. Hvor en bygning er fælles om flere aktiviteter kan m2 anvendes som fordelingsnøgle.
Malkning, fodring malkekvæg, malkekvæg i øvrigt samt kvier får hver 25 %, hvis der ikke kan fordeles på anden vis.</t>
        </r>
      </text>
    </comment>
    <comment ref="R65" authorId="0">
      <text>
        <r>
          <rPr>
            <b/>
            <sz val="9"/>
            <color indexed="81"/>
            <rFont val="Tahoma"/>
            <family val="2"/>
          </rPr>
          <t>Jannik Toft Andersen:</t>
        </r>
        <r>
          <rPr>
            <sz val="9"/>
            <color indexed="81"/>
            <rFont val="Tahoma"/>
            <family val="2"/>
          </rPr>
          <t xml:space="preserve">
beløbet skal bliver her fordeles som udgangspunkt ikke ud.</t>
        </r>
      </text>
    </comment>
    <comment ref="A67" authorId="0">
      <text>
        <r>
          <rPr>
            <b/>
            <sz val="9"/>
            <color indexed="81"/>
            <rFont val="Tahoma"/>
            <family val="2"/>
          </rPr>
          <t>Jannik Toft Andersen:</t>
        </r>
        <r>
          <rPr>
            <sz val="9"/>
            <color indexed="81"/>
            <rFont val="Tahoma"/>
            <family val="2"/>
          </rPr>
          <t xml:space="preserve">
Anlægskartotek.  Malkeanlæg til malkning, foderanlæg til fodring, øvrig inventar til andet køer</t>
        </r>
      </text>
    </comment>
    <comment ref="A68" authorId="0">
      <text>
        <r>
          <rPr>
            <b/>
            <sz val="9"/>
            <color indexed="81"/>
            <rFont val="Tahoma"/>
            <family val="2"/>
          </rPr>
          <t>Jannik Toft Andersen:</t>
        </r>
        <r>
          <rPr>
            <sz val="9"/>
            <color indexed="81"/>
            <rFont val="Tahoma"/>
            <family val="2"/>
          </rPr>
          <t xml:space="preserve">
via afskrivningsgrundlag fra anlægskartotek</t>
        </r>
      </text>
    </comment>
    <comment ref="M68" authorId="2">
      <text>
        <r>
          <rPr>
            <b/>
            <sz val="8"/>
            <color indexed="81"/>
            <rFont val="Tahoma"/>
            <family val="2"/>
          </rPr>
          <t>Jannik Andersen :</t>
        </r>
        <r>
          <rPr>
            <sz val="8"/>
            <color indexed="81"/>
            <rFont val="Tahoma"/>
            <family val="2"/>
          </rPr>
          <t xml:space="preserve">
hel år
</t>
        </r>
      </text>
    </comment>
    <comment ref="A69" authorId="0">
      <text>
        <r>
          <rPr>
            <b/>
            <sz val="9"/>
            <color indexed="81"/>
            <rFont val="Tahoma"/>
            <family val="2"/>
          </rPr>
          <t>Jannik Toft Andersen:</t>
        </r>
        <r>
          <rPr>
            <sz val="9"/>
            <color indexed="81"/>
            <rFont val="Tahoma"/>
            <family val="2"/>
          </rPr>
          <t xml:space="preserve">
Via afskrivningsgrundlag fra anlægskartotek . Maskinhus efter ha mellem markaktiviteter. Hvor en bygning er fælles om flere aktiviteter kan m2 anvendes som fordelingsnøgle.
Malkning, fodring malkekvæg, malkekvæg i øvrigt samt kvier får hver 25 %, hvis der ikke kan fordeles på anden vis.</t>
        </r>
      </text>
    </comment>
    <comment ref="A71" authorId="0">
      <text>
        <r>
          <rPr>
            <b/>
            <sz val="9"/>
            <color indexed="81"/>
            <rFont val="Tahoma"/>
            <family val="2"/>
          </rPr>
          <t>Jannik Toft Andersen:</t>
        </r>
        <r>
          <rPr>
            <sz val="9"/>
            <color indexed="81"/>
            <rFont val="Tahoma"/>
            <family val="2"/>
          </rPr>
          <t xml:space="preserve">
Anlægskartotek.  Malkeanlæg til malkning, foderanlæg til fodring, øvrig inventar til andet køer</t>
        </r>
      </text>
    </comment>
    <comment ref="A72" authorId="0">
      <text>
        <r>
          <rPr>
            <b/>
            <sz val="9"/>
            <color indexed="81"/>
            <rFont val="Tahoma"/>
            <family val="2"/>
          </rPr>
          <t xml:space="preserve">Jannik Toft Andersen:
</t>
        </r>
        <r>
          <rPr>
            <sz val="9"/>
            <color indexed="81"/>
            <rFont val="Tahoma"/>
            <family val="2"/>
          </rPr>
          <t>Via afskrivningsgrundlag fra anlægskartotek,  beholdnings og besætningsværdier.
 Bemærk forrentning på jord og forpagtning indgår ikke her. Disse beregnes på mark siden via en "rest til jordleje"-beregning.</t>
        </r>
      </text>
    </comment>
    <comment ref="A75" authorId="0">
      <text>
        <r>
          <rPr>
            <b/>
            <sz val="9"/>
            <color indexed="81"/>
            <rFont val="Tahoma"/>
            <family val="2"/>
          </rPr>
          <t>Jannik Toft Andersen:</t>
        </r>
        <r>
          <rPr>
            <sz val="9"/>
            <color indexed="81"/>
            <rFont val="Tahoma"/>
            <family val="2"/>
          </rPr>
          <t xml:space="preserve">
her HA. Udbytte vil måske give mere mening</t>
        </r>
      </text>
    </comment>
    <comment ref="M75" authorId="0">
      <text>
        <r>
          <rPr>
            <b/>
            <sz val="9"/>
            <color indexed="81"/>
            <rFont val="Tahoma"/>
            <family val="2"/>
          </rPr>
          <t>Jannik Toft Andersen:</t>
        </r>
        <r>
          <rPr>
            <sz val="9"/>
            <color indexed="81"/>
            <rFont val="Tahoma"/>
            <family val="2"/>
          </rPr>
          <t xml:space="preserve">
Her er det kg mælk. FE kunne også være relevant
</t>
        </r>
      </text>
    </comment>
    <comment ref="N75" authorId="0">
      <text>
        <r>
          <rPr>
            <b/>
            <sz val="9"/>
            <color indexed="81"/>
            <rFont val="Tahoma"/>
            <family val="2"/>
          </rPr>
          <t>Jannik Toft Andersen:</t>
        </r>
        <r>
          <rPr>
            <sz val="9"/>
            <color indexed="81"/>
            <rFont val="Tahoma"/>
            <family val="2"/>
          </rPr>
          <t xml:space="preserve">
per kg mælk
</t>
        </r>
      </text>
    </comment>
    <comment ref="O75" authorId="0">
      <text>
        <r>
          <rPr>
            <b/>
            <sz val="9"/>
            <color indexed="81"/>
            <rFont val="Tahoma"/>
            <family val="2"/>
          </rPr>
          <t>Jannik Toft Andersen:</t>
        </r>
        <r>
          <rPr>
            <sz val="9"/>
            <color indexed="81"/>
            <rFont val="Tahoma"/>
            <family val="2"/>
          </rPr>
          <t xml:space="preserve">
per kg mælk
</t>
        </r>
      </text>
    </comment>
    <comment ref="T77" authorId="0">
      <text>
        <r>
          <rPr>
            <b/>
            <sz val="9"/>
            <color indexed="81"/>
            <rFont val="Tahoma"/>
            <family val="2"/>
          </rPr>
          <t>Jannik Toft Andersen:</t>
        </r>
        <r>
          <rPr>
            <sz val="9"/>
            <color indexed="81"/>
            <rFont val="Tahoma"/>
            <family val="2"/>
          </rPr>
          <t xml:space="preserve">
her fordelt ned per KG mælk</t>
        </r>
      </text>
    </comment>
  </commentList>
</comments>
</file>

<file path=xl/comments2.xml><?xml version="1.0" encoding="utf-8"?>
<comments xmlns="http://schemas.openxmlformats.org/spreadsheetml/2006/main">
  <authors>
    <author>Susanne Pejstrup</author>
    <author>Jannik Toft Andersen</author>
  </authors>
  <commentList>
    <comment ref="B4" authorId="0">
      <text>
        <r>
          <rPr>
            <b/>
            <sz val="8"/>
            <color indexed="81"/>
            <rFont val="Tahoma"/>
            <family val="2"/>
          </rPr>
          <t>Susanne Pejstrup:</t>
        </r>
        <r>
          <rPr>
            <sz val="8"/>
            <color indexed="81"/>
            <rFont val="Tahoma"/>
            <family val="2"/>
          </rPr>
          <t xml:space="preserve">
CHR. nr skal også være navn på arket, da det styrer overførsel til samleark.</t>
        </r>
      </text>
    </comment>
    <comment ref="Q9" authorId="1">
      <text>
        <r>
          <rPr>
            <b/>
            <sz val="9"/>
            <color indexed="81"/>
            <rFont val="Tahoma"/>
            <family val="2"/>
          </rPr>
          <t>Jannik Toft Andersen:</t>
        </r>
        <r>
          <rPr>
            <sz val="9"/>
            <color indexed="81"/>
            <rFont val="Tahoma"/>
            <family val="2"/>
          </rPr>
          <t xml:space="preserve">
disse omkostninger er der ikke taget stilling til. </t>
        </r>
      </text>
    </comment>
    <comment ref="B12" authorId="0">
      <text>
        <r>
          <rPr>
            <b/>
            <sz val="8"/>
            <color indexed="81"/>
            <rFont val="Tahoma"/>
            <family val="2"/>
          </rPr>
          <t>Susanne Pejstrup:</t>
        </r>
        <r>
          <rPr>
            <sz val="8"/>
            <color indexed="81"/>
            <rFont val="Tahoma"/>
            <family val="2"/>
          </rPr>
          <t xml:space="preserve">
Gælder tidsregistreringen hele produktionen, så skriv nej. Hvis en del af produktionen f.eks. goldkøer ikke er med, så skriv ja.</t>
        </r>
      </text>
    </comment>
    <comment ref="R19" authorId="1">
      <text>
        <r>
          <rPr>
            <b/>
            <sz val="9"/>
            <color indexed="81"/>
            <rFont val="Tahoma"/>
            <family val="2"/>
          </rPr>
          <t>Jannik Toft Andersen:</t>
        </r>
        <r>
          <rPr>
            <sz val="9"/>
            <color indexed="81"/>
            <rFont val="Tahoma"/>
            <family val="2"/>
          </rPr>
          <t xml:space="preserve">
driftsledelse fordeles i dette tilfælde 100 % på køerne. Grundet køerne vægter så meget i dette tilfælde.
</t>
        </r>
      </text>
    </comment>
    <comment ref="A53" authorId="1">
      <text>
        <r>
          <rPr>
            <b/>
            <sz val="9"/>
            <color indexed="81"/>
            <rFont val="Tahoma"/>
            <family val="2"/>
          </rPr>
          <t>Jannik Toft Andersen:</t>
        </r>
        <r>
          <rPr>
            <sz val="9"/>
            <color indexed="81"/>
            <rFont val="Tahoma"/>
            <family val="2"/>
          </rPr>
          <t xml:space="preserve">
fordeles på hhv. køer, ungdyr og kalve
</t>
        </r>
      </text>
    </comment>
    <comment ref="A54" authorId="1">
      <text>
        <r>
          <rPr>
            <b/>
            <sz val="9"/>
            <color indexed="81"/>
            <rFont val="Tahoma"/>
            <family val="2"/>
          </rPr>
          <t>Jannik Toft Andersen:</t>
        </r>
        <r>
          <rPr>
            <sz val="9"/>
            <color indexed="81"/>
            <rFont val="Tahoma"/>
            <family val="2"/>
          </rPr>
          <t xml:space="preserve">
se ovenstående celle
</t>
        </r>
      </text>
    </comment>
    <comment ref="M57" authorId="1">
      <text>
        <r>
          <rPr>
            <b/>
            <sz val="9"/>
            <color indexed="81"/>
            <rFont val="Tahoma"/>
            <family val="2"/>
          </rPr>
          <t>Jannik Toft Andersen:</t>
        </r>
        <r>
          <rPr>
            <sz val="9"/>
            <color indexed="81"/>
            <rFont val="Tahoma"/>
            <family val="2"/>
          </rPr>
          <t xml:space="preserve">
Virker noget højt!</t>
        </r>
      </text>
    </comment>
    <comment ref="N57" authorId="1">
      <text>
        <r>
          <rPr>
            <b/>
            <sz val="9"/>
            <color indexed="81"/>
            <rFont val="Tahoma"/>
            <family val="2"/>
          </rPr>
          <t>Jannik Toft Andersen:</t>
        </r>
        <r>
          <rPr>
            <sz val="9"/>
            <color indexed="81"/>
            <rFont val="Tahoma"/>
            <family val="2"/>
          </rPr>
          <t xml:space="preserve">
Antager at dette tal er repræsentativt for alle uger i stalden
</t>
        </r>
      </text>
    </comment>
  </commentList>
</comments>
</file>

<file path=xl/comments3.xml><?xml version="1.0" encoding="utf-8"?>
<comments xmlns="http://schemas.openxmlformats.org/spreadsheetml/2006/main">
  <authors>
    <author>Jannik Toft Andersen</author>
    <author>bruger</author>
    <author xml:space="preserve">Jannik Andersen </author>
  </authors>
  <commentList>
    <comment ref="C15" authorId="0">
      <text>
        <r>
          <rPr>
            <b/>
            <sz val="9"/>
            <color indexed="81"/>
            <rFont val="Tahoma"/>
            <charset val="1"/>
          </rPr>
          <t>Jannik Toft Andersen:</t>
        </r>
        <r>
          <rPr>
            <sz val="9"/>
            <color indexed="81"/>
            <rFont val="Tahoma"/>
            <charset val="1"/>
          </rPr>
          <t xml:space="preserve">
 </t>
        </r>
      </text>
    </comment>
    <comment ref="F15" authorId="0">
      <text>
        <r>
          <rPr>
            <b/>
            <sz val="9"/>
            <color indexed="81"/>
            <rFont val="Tahoma"/>
            <family val="2"/>
          </rPr>
          <t>Jannik Toft Andersen:</t>
        </r>
        <r>
          <rPr>
            <sz val="9"/>
            <color indexed="81"/>
            <rFont val="Tahoma"/>
            <family val="2"/>
          </rPr>
          <t xml:space="preserve">
Omkostningsarter, der går på tværs af stald og mark aktiviteterne, der ikke lader sig fordele til mark og stald ud via konteringen i regnskabet. Ex lønomkostninger</t>
        </r>
      </text>
    </comment>
    <comment ref="G15" authorId="0">
      <text>
        <r>
          <rPr>
            <b/>
            <sz val="9"/>
            <color indexed="81"/>
            <rFont val="Tahoma"/>
            <family val="2"/>
          </rPr>
          <t>Jannik Toft Andersen:</t>
        </r>
        <r>
          <rPr>
            <sz val="9"/>
            <color indexed="81"/>
            <rFont val="Tahoma"/>
            <family val="2"/>
          </rPr>
          <t xml:space="preserve">
herunder oplagre
</t>
        </r>
      </text>
    </comment>
    <comment ref="J15" authorId="1">
      <text>
        <r>
          <rPr>
            <b/>
            <sz val="9"/>
            <color indexed="81"/>
            <rFont val="Tahoma"/>
            <family val="2"/>
          </rPr>
          <t>bruger:</t>
        </r>
        <r>
          <rPr>
            <sz val="9"/>
            <color indexed="81"/>
            <rFont val="Tahoma"/>
            <family val="2"/>
          </rPr>
          <t xml:space="preserve"> Inklusiv vedvarende græs
</t>
        </r>
      </text>
    </comment>
    <comment ref="K15" authorId="0">
      <text>
        <r>
          <rPr>
            <b/>
            <sz val="9"/>
            <color indexed="81"/>
            <rFont val="Tahoma"/>
            <family val="2"/>
          </rPr>
          <t xml:space="preserve">Jannik Toft Andersen
</t>
        </r>
        <r>
          <rPr>
            <sz val="9"/>
            <color indexed="81"/>
            <rFont val="Tahoma"/>
            <family val="2"/>
          </rPr>
          <t xml:space="preserve">Beløbene her skal fordeles ud ved hjælp på markaktiviteterne vha. af en fordelingsnøgle
</t>
        </r>
      </text>
    </comment>
    <comment ref="L15" authorId="2">
      <text>
        <r>
          <rPr>
            <b/>
            <sz val="8"/>
            <color indexed="81"/>
            <rFont val="Tahoma"/>
            <family val="2"/>
          </rPr>
          <t xml:space="preserve">Jannik Andersen : Inklusiv selve foderet, lager og udfodring. </t>
        </r>
      </text>
    </comment>
    <comment ref="U15" authorId="0">
      <text>
        <r>
          <rPr>
            <b/>
            <sz val="9"/>
            <color indexed="81"/>
            <rFont val="Tahoma"/>
            <family val="2"/>
          </rPr>
          <t>Jannik Toft Andersen:</t>
        </r>
        <r>
          <rPr>
            <sz val="9"/>
            <color indexed="81"/>
            <rFont val="Tahoma"/>
            <family val="2"/>
          </rPr>
          <t xml:space="preserve">
til afstemningsformål</t>
        </r>
      </text>
    </comment>
  </commentList>
</comments>
</file>

<file path=xl/comments4.xml><?xml version="1.0" encoding="utf-8"?>
<comments xmlns="http://schemas.openxmlformats.org/spreadsheetml/2006/main">
  <authors>
    <author>Jannik Toft Andersen</author>
  </authors>
  <commentList>
    <comment ref="A17" authorId="0">
      <text>
        <r>
          <rPr>
            <b/>
            <sz val="9"/>
            <color indexed="81"/>
            <rFont val="Tahoma"/>
            <charset val="1"/>
          </rPr>
          <t>Jannik Toft Andersen:</t>
        </r>
        <r>
          <rPr>
            <sz val="9"/>
            <color indexed="81"/>
            <rFont val="Tahoma"/>
            <charset val="1"/>
          </rPr>
          <t xml:space="preserve">
fordelt ud efter de fordelte timer.</t>
        </r>
      </text>
    </comment>
  </commentList>
</comments>
</file>

<file path=xl/sharedStrings.xml><?xml version="1.0" encoding="utf-8"?>
<sst xmlns="http://schemas.openxmlformats.org/spreadsheetml/2006/main" count="490" uniqueCount="320">
  <si>
    <t xml:space="preserve">Dyrk salgsafgrøder </t>
  </si>
  <si>
    <t xml:space="preserve">Malk besætning </t>
  </si>
  <si>
    <t>Malkekvæg, øvrigt</t>
  </si>
  <si>
    <t xml:space="preserve"> Sekundære aktiviteter </t>
  </si>
  <si>
    <t>Stykomkostninger mark</t>
  </si>
  <si>
    <t>Dyrlæge</t>
  </si>
  <si>
    <t>Medicin</t>
  </si>
  <si>
    <t>Avl og inseminering</t>
  </si>
  <si>
    <t>Energi</t>
  </si>
  <si>
    <t>Maskinstation</t>
  </si>
  <si>
    <t>Vedligeholdelse</t>
  </si>
  <si>
    <t>Lønomkostninger</t>
  </si>
  <si>
    <t>Ejerløn</t>
  </si>
  <si>
    <t>Kapitalomkostninger</t>
  </si>
  <si>
    <t>Totale aktivitetsomkostninger</t>
  </si>
  <si>
    <t>Antal enheder</t>
  </si>
  <si>
    <t>Omkostninger/ enhed</t>
  </si>
  <si>
    <t>Antal årskøer</t>
  </si>
  <si>
    <t>Dyrk Majs</t>
  </si>
  <si>
    <t>Dyrk græs</t>
  </si>
  <si>
    <t>Fodr og pas spædkalve 0-3 mdr.</t>
  </si>
  <si>
    <t>Udsæd</t>
  </si>
  <si>
    <t>Gødning</t>
  </si>
  <si>
    <t>Foderkorn</t>
  </si>
  <si>
    <t>C-Blanding</t>
  </si>
  <si>
    <t>combi-blanding</t>
  </si>
  <si>
    <t>Proteinkilder</t>
  </si>
  <si>
    <t>Mineraler og vitaminer</t>
  </si>
  <si>
    <t>Kvieomkostning</t>
  </si>
  <si>
    <t>EL</t>
  </si>
  <si>
    <t xml:space="preserve">Plantebeskyttelse </t>
  </si>
  <si>
    <t>Leje af maskiner</t>
  </si>
  <si>
    <t>Finsnitning</t>
  </si>
  <si>
    <t>Aktivitet</t>
  </si>
  <si>
    <t>Grovfoder, majs</t>
  </si>
  <si>
    <t>Grovfoder, græs</t>
  </si>
  <si>
    <t>Grovfoder, øvrigt</t>
  </si>
  <si>
    <t>kalveblanding</t>
  </si>
  <si>
    <t>Diverse markomkostninger</t>
  </si>
  <si>
    <t>Indkøbt majsensilage</t>
  </si>
  <si>
    <t>Andre fodermidler</t>
  </si>
  <si>
    <t>A-blanding</t>
  </si>
  <si>
    <t>Ydelseskontrol</t>
  </si>
  <si>
    <t>Strøelse</t>
  </si>
  <si>
    <t>Produktionsrådgivning (kun Kvæg)</t>
  </si>
  <si>
    <t>Klovbeskæring</t>
  </si>
  <si>
    <t>DAKA</t>
  </si>
  <si>
    <t>Diverse  husdyr</t>
  </si>
  <si>
    <t>Diverse omkostninger vedr. husdyr</t>
  </si>
  <si>
    <t>Afskrivninger, bygninger</t>
  </si>
  <si>
    <t>Afskrivninger, markinventar</t>
  </si>
  <si>
    <t>Afskrivninger, staldinventar</t>
  </si>
  <si>
    <t>Vedligeholdelse, bygninger</t>
  </si>
  <si>
    <t>Vedligeholdelse, markredskaber</t>
  </si>
  <si>
    <t>Vedligeholdelse, staldinventar</t>
  </si>
  <si>
    <t>Standardfordelingsnøgle, husdyr</t>
  </si>
  <si>
    <t xml:space="preserve">køer </t>
  </si>
  <si>
    <t xml:space="preserve">årskøer </t>
  </si>
  <si>
    <t xml:space="preserve">årskvier </t>
  </si>
  <si>
    <t>årskalve</t>
  </si>
  <si>
    <t>Besætning</t>
  </si>
  <si>
    <t>Fødselsrate</t>
  </si>
  <si>
    <t>måneder til kælving</t>
  </si>
  <si>
    <t>heraf handyr</t>
  </si>
  <si>
    <t>heraf måneder med kalvestatus</t>
  </si>
  <si>
    <t>Total</t>
  </si>
  <si>
    <t>Vægtet  nøgle, husdyr</t>
  </si>
  <si>
    <t>Avl</t>
  </si>
  <si>
    <t>Vægtet nøgle, avl</t>
  </si>
  <si>
    <t>Dyrk øvrigt grovfoder</t>
  </si>
  <si>
    <t>Fragt og lagerleje</t>
  </si>
  <si>
    <t>Ungdyrene</t>
  </si>
  <si>
    <t>Elomkostninger, malkestald</t>
  </si>
  <si>
    <t>Malkning</t>
  </si>
  <si>
    <t xml:space="preserve">Køerne </t>
  </si>
  <si>
    <t xml:space="preserve">Kvierne </t>
  </si>
  <si>
    <t>Kalve</t>
  </si>
  <si>
    <t>Ams</t>
  </si>
  <si>
    <t>Malketeknik</t>
  </si>
  <si>
    <t>ams</t>
  </si>
  <si>
    <t>Diesel</t>
  </si>
  <si>
    <t xml:space="preserve">Øvrig kapacitetsomkostninger  </t>
  </si>
  <si>
    <t>malkestald, karrusel, rørmalkning</t>
  </si>
  <si>
    <t>Vand</t>
  </si>
  <si>
    <t>Fodre,køer</t>
  </si>
  <si>
    <t>Øvrige, køer</t>
  </si>
  <si>
    <t>Spædkalve</t>
  </si>
  <si>
    <t>Undgdyr</t>
  </si>
  <si>
    <t>Tidsfordeling, stald</t>
  </si>
  <si>
    <t>Ungdyr</t>
  </si>
  <si>
    <t>I alt</t>
  </si>
  <si>
    <t xml:space="preserve"> </t>
  </si>
  <si>
    <t>=</t>
  </si>
  <si>
    <t>salgsafgrøder</t>
  </si>
  <si>
    <t>Aktivmasse</t>
  </si>
  <si>
    <t>Rente til kapitalomkostninger</t>
  </si>
  <si>
    <t>Driftsbygninger</t>
  </si>
  <si>
    <t>Staldinventar</t>
  </si>
  <si>
    <t>Markredskaber</t>
  </si>
  <si>
    <t>Besætningsværdi</t>
  </si>
  <si>
    <t>Køer</t>
  </si>
  <si>
    <t>Jordbeholdning</t>
  </si>
  <si>
    <t>Arlaandelsbevis</t>
  </si>
  <si>
    <t>total</t>
  </si>
  <si>
    <t>Tidsregistrering på bedriften</t>
  </si>
  <si>
    <t>Løbende beregninger</t>
  </si>
  <si>
    <t>Data for bedriften</t>
  </si>
  <si>
    <t>CHR. nr:</t>
  </si>
  <si>
    <t>Navn:</t>
  </si>
  <si>
    <t>Niels Bjerre</t>
  </si>
  <si>
    <t>Kg EKM /arbejdstime</t>
  </si>
  <si>
    <t>År og ugenummer</t>
  </si>
  <si>
    <t>Mandtimer / årsko</t>
  </si>
  <si>
    <t>Kg EKM (kontrol)</t>
  </si>
  <si>
    <t>Antal årskvier hjemme</t>
  </si>
  <si>
    <t>Antal årskvier udliciteret</t>
  </si>
  <si>
    <t>AMS</t>
  </si>
  <si>
    <t>ja</t>
  </si>
  <si>
    <t>Multi-site? Ja / nej</t>
  </si>
  <si>
    <t>nej</t>
  </si>
  <si>
    <t>Sammentælling</t>
  </si>
  <si>
    <t>Min. pr. årsko</t>
  </si>
  <si>
    <t>Timer i alt pr. uge</t>
  </si>
  <si>
    <t>Min. i alt pr. uge</t>
  </si>
  <si>
    <t>Medarbejder 1 eller total</t>
  </si>
  <si>
    <t>Medarbejder 3</t>
  </si>
  <si>
    <t>Medarbejder 4</t>
  </si>
  <si>
    <t>Medarbejder 5</t>
  </si>
  <si>
    <t>Medarbejder 6</t>
  </si>
  <si>
    <t>Medarbejder 7</t>
  </si>
  <si>
    <t>Medarbejder 8</t>
  </si>
  <si>
    <t>Medarbejder 9</t>
  </si>
  <si>
    <t>Medarbejder 10</t>
  </si>
  <si>
    <t>Mandag</t>
  </si>
  <si>
    <t>Tirsdag</t>
  </si>
  <si>
    <t>Onsdag</t>
  </si>
  <si>
    <t>Torsdag</t>
  </si>
  <si>
    <t>Fredag</t>
  </si>
  <si>
    <t>Lørdag</t>
  </si>
  <si>
    <t>Søndag</t>
  </si>
  <si>
    <t>Sum nr 1</t>
  </si>
  <si>
    <t>KØER</t>
  </si>
  <si>
    <t>Malkning / hente køer</t>
  </si>
  <si>
    <t>Rengøring</t>
  </si>
  <si>
    <t>Blande foder</t>
  </si>
  <si>
    <t>Udfodring / indfejning</t>
  </si>
  <si>
    <t>Rensning</t>
  </si>
  <si>
    <t>Strøning</t>
  </si>
  <si>
    <t>Opsyn og brunstkontrol</t>
  </si>
  <si>
    <t>Flytning af køer</t>
  </si>
  <si>
    <t>Andet</t>
  </si>
  <si>
    <t>SPÆDKALVE</t>
  </si>
  <si>
    <t>Mælkefodring</t>
  </si>
  <si>
    <t>Fodring i øvrigt</t>
  </si>
  <si>
    <t>Flytning af spædkalve</t>
  </si>
  <si>
    <t>OPDRÆT</t>
  </si>
  <si>
    <t>Fodring</t>
  </si>
  <si>
    <t>Flytning af opdræt</t>
  </si>
  <si>
    <t>VEDLIGEHOLD OG REP</t>
  </si>
  <si>
    <t>Malkestald / AMS-afsnit</t>
  </si>
  <si>
    <t>Kostaldsafsnit</t>
  </si>
  <si>
    <t>Ungdyrafsnit</t>
  </si>
  <si>
    <t>Kalveafsnit</t>
  </si>
  <si>
    <t>DRIFTSLEDELSE</t>
  </si>
  <si>
    <t>85/15/10</t>
  </si>
  <si>
    <t>Registrering/indberetning</t>
  </si>
  <si>
    <t>85/15/11</t>
  </si>
  <si>
    <t>SUM</t>
  </si>
  <si>
    <t>SUM i timer</t>
  </si>
  <si>
    <t>Halvår</t>
  </si>
  <si>
    <t>Mark</t>
  </si>
  <si>
    <t>Stald</t>
  </si>
  <si>
    <t>Totalt</t>
  </si>
  <si>
    <t xml:space="preserve">fordeling </t>
  </si>
  <si>
    <t>tidsforbrug per halvår</t>
  </si>
  <si>
    <t>tidsforbrug per halvår  timer</t>
  </si>
  <si>
    <t>Til fordeling af lønomkostninger mellem mark stald</t>
  </si>
  <si>
    <t xml:space="preserve">Fordeling mellem aktiviteterne i stald. </t>
  </si>
  <si>
    <t>Malkerobotter + køleanlæg</t>
  </si>
  <si>
    <t>Beholdning, foder</t>
  </si>
  <si>
    <t>Kvote</t>
  </si>
  <si>
    <t>Fodre, køer</t>
  </si>
  <si>
    <t>Udbringning.</t>
  </si>
  <si>
    <t>Navn :</t>
  </si>
  <si>
    <t>timer</t>
  </si>
  <si>
    <t>procent</t>
  </si>
  <si>
    <t>andet grovfoder</t>
  </si>
  <si>
    <t>græs, grovfoder</t>
  </si>
  <si>
    <t>majs, grovfoder</t>
  </si>
  <si>
    <t>Total fordelte</t>
  </si>
  <si>
    <t>Ufordelt</t>
  </si>
  <si>
    <t>Græsrive</t>
  </si>
  <si>
    <t>Tidsfordeling, arbejdsforbrug mark</t>
  </si>
  <si>
    <t xml:space="preserve">fra markregisteringerne </t>
  </si>
  <si>
    <t>Procentfordeling til markomkostninger</t>
  </si>
  <si>
    <t>Dato</t>
  </si>
  <si>
    <t>(Flere elementer)</t>
  </si>
  <si>
    <t>Sum af Timer</t>
  </si>
  <si>
    <t>Kolonneetiketter</t>
  </si>
  <si>
    <t>Rækkeetiketter</t>
  </si>
  <si>
    <t>(Tom)</t>
  </si>
  <si>
    <t>Hovedtotal</t>
  </si>
  <si>
    <t>ufordelt</t>
  </si>
  <si>
    <t>Græsvogn</t>
  </si>
  <si>
    <t>Gyllevogn</t>
  </si>
  <si>
    <t>Gødningsspreder</t>
  </si>
  <si>
    <t>Kombi såmask.</t>
  </si>
  <si>
    <t>Plov</t>
  </si>
  <si>
    <t>Sprøjte</t>
  </si>
  <si>
    <t>Tromle</t>
  </si>
  <si>
    <t>Vandingsmaskine</t>
  </si>
  <si>
    <t>tidsforbrug øvrige maskiner</t>
  </si>
  <si>
    <t xml:space="preserve">Udelukkende data fra første halvår indgår </t>
  </si>
  <si>
    <t>ha</t>
  </si>
  <si>
    <t>Afgrøde</t>
  </si>
  <si>
    <t>25-0</t>
  </si>
  <si>
    <t>Helsæd, vinterhvede</t>
  </si>
  <si>
    <t>1-0</t>
  </si>
  <si>
    <t>Kl.græs, s. u.50%kl. udl.eft.å</t>
  </si>
  <si>
    <t>27-0</t>
  </si>
  <si>
    <t>Miljøgræs, MVJ-ordning, 0N</t>
  </si>
  <si>
    <t>9-0</t>
  </si>
  <si>
    <t>Pl. e.afg græs(nedm.)udl.forår</t>
  </si>
  <si>
    <t>10-0</t>
  </si>
  <si>
    <t>Rent græs, s</t>
  </si>
  <si>
    <t>22-0</t>
  </si>
  <si>
    <t>Rent græs, s, Kl.græs, s. u.50%kl. udl.eft.å</t>
  </si>
  <si>
    <t>Silomajs</t>
  </si>
  <si>
    <t>26-0</t>
  </si>
  <si>
    <t>Vedv. græs, a</t>
  </si>
  <si>
    <t>30-0</t>
  </si>
  <si>
    <t>Vinterhvede</t>
  </si>
  <si>
    <t>Vinterhvede, Helsæd, vinterhvede</t>
  </si>
  <si>
    <t>31-0</t>
  </si>
  <si>
    <t>Vårbyg</t>
  </si>
  <si>
    <t>7-0</t>
  </si>
  <si>
    <t>Vårbyg m. kløverudlæg</t>
  </si>
  <si>
    <t>Vårbyg, Vårbyg m. kløverudlæg</t>
  </si>
  <si>
    <t>MF forbrug i forhold til RZ</t>
  </si>
  <si>
    <t>mark</t>
  </si>
  <si>
    <t>afgrøde type</t>
  </si>
  <si>
    <t>efterafgrøde</t>
  </si>
  <si>
    <t>kl. græs s. u 50% kl udl. Eft.å</t>
  </si>
  <si>
    <t>Græs, grovfoder</t>
  </si>
  <si>
    <t>vårbyg m. kløverudlæg</t>
  </si>
  <si>
    <t>Majs, grovfoder</t>
  </si>
  <si>
    <t>rent græs</t>
  </si>
  <si>
    <t>15-0</t>
  </si>
  <si>
    <t>17-0</t>
  </si>
  <si>
    <t>20-0</t>
  </si>
  <si>
    <t xml:space="preserve">rent græs </t>
  </si>
  <si>
    <t>vinterhvede</t>
  </si>
  <si>
    <t>vedv. Græs</t>
  </si>
  <si>
    <t>miljøgræs, MVJ-ordning</t>
  </si>
  <si>
    <t>vårbyg</t>
  </si>
  <si>
    <t xml:space="preserve">salgsafgrøder </t>
  </si>
  <si>
    <t xml:space="preserve">I alt </t>
  </si>
  <si>
    <t>Salgsafgrøder</t>
  </si>
  <si>
    <t>Majs</t>
  </si>
  <si>
    <t>Græs</t>
  </si>
  <si>
    <t>Andet grovfoder.</t>
  </si>
  <si>
    <t>(Alle)</t>
  </si>
  <si>
    <t>Arealfordeling, HA</t>
  </si>
  <si>
    <t>Ufordelte:</t>
  </si>
  <si>
    <t>minutter pr. ruge</t>
  </si>
  <si>
    <t>driftsledelse, køer</t>
  </si>
  <si>
    <t>generelt/administration</t>
  </si>
  <si>
    <t>I alt, kr.</t>
  </si>
  <si>
    <t>HUSK ANLÆGSKARTOKTEK</t>
  </si>
  <si>
    <t>rest mark</t>
  </si>
  <si>
    <t>Rest stald</t>
  </si>
  <si>
    <t>stald</t>
  </si>
  <si>
    <t>generel</t>
  </si>
  <si>
    <t>rest bedrift</t>
  </si>
  <si>
    <t>sekundære</t>
  </si>
  <si>
    <t>Afskrivninger (se anlægskartotek- bilag- i årsrapport)</t>
  </si>
  <si>
    <t>Ovenstående er fra anlægskartokteket fra Niels Bjerres årpaort</t>
  </si>
  <si>
    <t>Forrentningsprocent</t>
  </si>
  <si>
    <t>Vedligeholdelse, stald (se S160 i årsrapport)</t>
  </si>
  <si>
    <t xml:space="preserve">stald vedligehold i alt </t>
  </si>
  <si>
    <t xml:space="preserve">staldkafskrivninger i alt </t>
  </si>
  <si>
    <t>Forrentning staldredskaber</t>
  </si>
  <si>
    <t xml:space="preserve">Forrentning af staldredskaber ialt </t>
  </si>
  <si>
    <t>Dette skema indeholder køretidsdata overfør fra markonline fra ark "data" fordelingsnøglen</t>
  </si>
  <si>
    <t>Tidsforbrug i %</t>
  </si>
  <si>
    <t>fordelingsnøgle</t>
  </si>
  <si>
    <t>Tidsforbrug i procent overføres til ark "markredskaber; VAK-fordeling"</t>
  </si>
  <si>
    <t>bogførtværdi jf. regnskab</t>
  </si>
  <si>
    <t>nr.</t>
  </si>
  <si>
    <t xml:space="preserve">Mark </t>
  </si>
  <si>
    <t>Markredskaber, traktorer</t>
  </si>
  <si>
    <t>Markredskaber, øvrige</t>
  </si>
  <si>
    <t xml:space="preserve"> Salgsafgr.</t>
  </si>
  <si>
    <t xml:space="preserve"> Øvrigt grovfoder</t>
  </si>
  <si>
    <t xml:space="preserve"> Græs</t>
  </si>
  <si>
    <t xml:space="preserve"> Majs</t>
  </si>
  <si>
    <t>Maskinsamarbejde</t>
  </si>
  <si>
    <t>Indtastning</t>
  </si>
  <si>
    <t>Landbrugsaktiver i alt (se ark "anlægskartotek")</t>
  </si>
  <si>
    <t>Afskrivninger i alt</t>
  </si>
  <si>
    <t>Foderomkostninger i alt</t>
  </si>
  <si>
    <t>Samlet køretid, traktorerne (bruges til at fordele dissel på marken ud)</t>
  </si>
  <si>
    <t>INDSÆT EGNE TAL I DET GRØNNE &gt;&gt;&gt;</t>
  </si>
  <si>
    <t xml:space="preserve">Bruges til  at fordele </t>
  </si>
  <si>
    <t>Indkøbt foder i alt</t>
  </si>
  <si>
    <t>Grovfoder ialt</t>
  </si>
  <si>
    <t>(indsæt navn)</t>
  </si>
  <si>
    <t xml:space="preserve">1. Start med at indtaste de samlede omkostninger i "I alt" feltet. </t>
  </si>
  <si>
    <t xml:space="preserve">2. Derefter fordeles der mellem mark, stald (og generel og sekundære). Dette gøres manuelt </t>
  </si>
  <si>
    <t>3. Derefter fordeles omkostninger ud på aktivteteterne. Enten ved indtastning eller via de definerede fordelingsnøgler</t>
  </si>
  <si>
    <t>Fodring malkekvæg</t>
  </si>
  <si>
    <t xml:space="preserve">Medtag kolone F, hvis bedriften har væsentlige sekundære aktiviteter </t>
  </si>
  <si>
    <t>(indsæt anlægskartoteket fra årsraporten)</t>
  </si>
  <si>
    <t xml:space="preserve">Fodring, malkekvæg </t>
  </si>
  <si>
    <t>Generel ledelses og administration</t>
  </si>
  <si>
    <t>Brug bogførtværdi fra bilag vedrørende i årsapport. Korrektioner kan foretages , hvis det skønes, at aktiverne har ændres sig markant gennem året</t>
  </si>
  <si>
    <t>Det Europæiske Fællesskab og Ministeriet for Fødevarer, Landbrug og Fiskeri har deltaget i finansieringen af projektet.</t>
  </si>
  <si>
    <t>Kapitalomkostninger, bygninger</t>
  </si>
  <si>
    <t>Kapitalomkostninger, markinventar</t>
  </si>
  <si>
    <t>kapitalomkostninger, staldinventar</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</si>
</sst>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quot;kr.&quot;\ * #,##0.00_ ;_ &quot;kr.&quot;\ * \-#,##0.00_ ;_ &quot;kr.&quot;\ * &quot;-&quot;??_ ;_ @_ "/>
    <numFmt numFmtId="43" formatCode="_ * #,##0.00_ ;_ * \-#,##0.00_ ;_ * &quot;-&quot;??_ ;_ @_ "/>
    <numFmt numFmtId="164" formatCode="0.0"/>
    <numFmt numFmtId="165" formatCode="0.0000"/>
    <numFmt numFmtId="166" formatCode="_ * #,##0_ ;_ * \-#,##0_ ;_ * &quot;-&quot;??_ ;_ @_ "/>
    <numFmt numFmtId="167" formatCode="_ &quot;kr.&quot;\ * #,##0_ ;_ &quot;kr.&quot;\ * \-#,##0_ ;_ &quot;kr.&quot;\ * &quot;-&quot;??_ ;_ @_ "/>
    <numFmt numFmtId="168" formatCode="dd/mm/yy;@"/>
    <numFmt numFmtId="169" formatCode="&quot;Ja&quot;;&quot;Ja&quot;;&quot;Nej&quot;"/>
    <numFmt numFmtId="170" formatCode="#,##0_ ;\-#,##0\ "/>
  </numFmts>
  <fonts count="64" x14ac:knownFonts="1">
    <font>
      <sz val="11"/>
      <color theme="1"/>
      <name val="Calibri"/>
      <family val="2"/>
      <scheme val="minor"/>
    </font>
    <font>
      <sz val="8"/>
      <color indexed="81"/>
      <name val="Tahoma"/>
      <family val="2"/>
    </font>
    <font>
      <b/>
      <sz val="8"/>
      <color indexed="81"/>
      <name val="Tahoma"/>
      <family val="2"/>
    </font>
    <font>
      <sz val="9"/>
      <color indexed="81"/>
      <name val="Tahoma"/>
      <family val="2"/>
    </font>
    <font>
      <b/>
      <sz val="9"/>
      <color indexed="81"/>
      <name val="Tahoma"/>
      <family val="2"/>
    </font>
    <font>
      <sz val="14"/>
      <name val="Arial"/>
      <family val="2"/>
    </font>
    <font>
      <sz val="12"/>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i/>
      <sz val="11"/>
      <color rgb="FF7F7F7F"/>
      <name val="Calibri"/>
      <family val="2"/>
      <scheme val="minor"/>
    </font>
    <font>
      <sz val="11"/>
      <color rgb="FF006100"/>
      <name val="Calibri"/>
      <family val="2"/>
      <scheme val="minor"/>
    </font>
    <font>
      <sz val="11"/>
      <color rgb="FF3F3F76"/>
      <name val="Calibri"/>
      <family val="2"/>
      <scheme val="minor"/>
    </font>
    <font>
      <b/>
      <sz val="11"/>
      <color theme="0"/>
      <name val="Calibri"/>
      <family val="2"/>
      <scheme val="minor"/>
    </font>
    <font>
      <sz val="11"/>
      <color rgb="FF9C6500"/>
      <name val="Calibri"/>
      <family val="2"/>
      <scheme val="minor"/>
    </font>
    <font>
      <b/>
      <sz val="11"/>
      <color rgb="FF3F3F3F"/>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b/>
      <sz val="18"/>
      <color theme="3"/>
      <name val="Cambria"/>
      <family val="2"/>
      <scheme val="major"/>
    </font>
    <font>
      <b/>
      <sz val="11"/>
      <color theme="1"/>
      <name val="Calibri"/>
      <family val="2"/>
      <scheme val="minor"/>
    </font>
    <font>
      <sz val="11"/>
      <color rgb="FF9C0006"/>
      <name val="Calibri"/>
      <family val="2"/>
      <scheme val="minor"/>
    </font>
    <font>
      <sz val="12"/>
      <color theme="1"/>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4"/>
      <name val="Calibri"/>
      <family val="2"/>
      <scheme val="minor"/>
    </font>
    <font>
      <b/>
      <u/>
      <sz val="14"/>
      <color theme="1"/>
      <name val="Calibri"/>
      <family val="2"/>
      <scheme val="minor"/>
    </font>
    <font>
      <i/>
      <sz val="11"/>
      <color theme="1"/>
      <name val="Calibri"/>
      <family val="2"/>
      <scheme val="minor"/>
    </font>
    <font>
      <sz val="11"/>
      <name val="Calibri"/>
      <family val="2"/>
      <scheme val="minor"/>
    </font>
    <font>
      <sz val="12"/>
      <name val="Calibri"/>
      <family val="2"/>
      <scheme val="minor"/>
    </font>
    <font>
      <sz val="14"/>
      <name val="Calibri"/>
      <family val="2"/>
      <scheme val="minor"/>
    </font>
    <font>
      <sz val="9"/>
      <color indexed="81"/>
      <name val="Tahoma"/>
      <charset val="1"/>
    </font>
    <font>
      <b/>
      <sz val="9"/>
      <color indexed="81"/>
      <name val="Tahoma"/>
      <charset val="1"/>
    </font>
    <font>
      <sz val="14"/>
      <color rgb="FFFF0000"/>
      <name val="Calibri"/>
      <family val="2"/>
      <scheme val="minor"/>
    </font>
    <font>
      <b/>
      <sz val="12"/>
      <name val="Calibri"/>
      <family val="2"/>
      <scheme val="minor"/>
    </font>
    <font>
      <b/>
      <sz val="11"/>
      <name val="Calibri"/>
      <family val="2"/>
      <scheme val="minor"/>
    </font>
    <font>
      <sz val="11"/>
      <name val="Arial"/>
      <family val="2"/>
    </font>
    <font>
      <b/>
      <i/>
      <sz val="14"/>
      <color theme="1"/>
      <name val="Calibri"/>
      <family val="2"/>
      <scheme val="minor"/>
    </font>
    <font>
      <b/>
      <i/>
      <sz val="14"/>
      <name val="Calibri"/>
      <family val="2"/>
      <scheme val="minor"/>
    </font>
    <font>
      <i/>
      <sz val="14"/>
      <color theme="1"/>
      <name val="Calibri"/>
      <family val="2"/>
      <scheme val="minor"/>
    </font>
    <font>
      <i/>
      <sz val="12"/>
      <color theme="1"/>
      <name val="Calibri"/>
      <family val="2"/>
      <scheme val="minor"/>
    </font>
    <font>
      <i/>
      <sz val="11"/>
      <name val="Calibri"/>
      <family val="2"/>
      <scheme val="minor"/>
    </font>
    <font>
      <i/>
      <sz val="14"/>
      <name val="Calibri"/>
      <family val="2"/>
      <scheme val="minor"/>
    </font>
    <font>
      <i/>
      <sz val="14"/>
      <color rgb="FFFF0000"/>
      <name val="Calibri"/>
      <family val="2"/>
      <scheme val="minor"/>
    </font>
    <font>
      <i/>
      <sz val="14"/>
      <name val="Arial"/>
      <family val="2"/>
    </font>
    <font>
      <i/>
      <sz val="12"/>
      <name val="Calibri"/>
      <family val="2"/>
      <scheme val="minor"/>
    </font>
    <font>
      <b/>
      <u/>
      <sz val="11"/>
      <color theme="1"/>
      <name val="Calibri"/>
      <family val="2"/>
      <scheme val="minor"/>
    </font>
    <font>
      <b/>
      <i/>
      <sz val="11"/>
      <color theme="1"/>
      <name val="Calibri"/>
      <family val="2"/>
      <scheme val="minor"/>
    </font>
    <font>
      <b/>
      <i/>
      <sz val="11"/>
      <name val="Calibri"/>
      <family val="2"/>
      <scheme val="minor"/>
    </font>
    <font>
      <b/>
      <i/>
      <sz val="11"/>
      <name val="Arial"/>
      <family val="2"/>
    </font>
    <font>
      <b/>
      <i/>
      <sz val="12"/>
      <color theme="0"/>
      <name val="Calibri"/>
      <family val="2"/>
      <scheme val="minor"/>
    </font>
    <font>
      <b/>
      <i/>
      <sz val="11"/>
      <color theme="0"/>
      <name val="Calibri"/>
      <family val="2"/>
      <scheme val="minor"/>
    </font>
    <font>
      <sz val="14"/>
      <color rgb="FFFF0000"/>
      <name val="Arial"/>
      <family val="2"/>
    </font>
    <font>
      <sz val="12"/>
      <color rgb="FFFF0000"/>
      <name val="Arial"/>
      <family val="2"/>
    </font>
    <font>
      <i/>
      <sz val="10"/>
      <color rgb="FFFF0000"/>
      <name val="Arial"/>
      <family val="2"/>
    </font>
    <font>
      <b/>
      <sz val="10"/>
      <color rgb="FFFF0000"/>
      <name val="Arial"/>
      <family val="2"/>
    </font>
    <font>
      <sz val="10"/>
      <color rgb="FFFF0000"/>
      <name val="Arial"/>
      <family val="2"/>
    </font>
    <font>
      <sz val="20"/>
      <color rgb="FFFF0000"/>
      <name val="Arial"/>
      <family val="2"/>
    </font>
    <font>
      <b/>
      <i/>
      <sz val="12"/>
      <color theme="1"/>
      <name val="Calibri"/>
      <family val="2"/>
      <scheme val="minor"/>
    </font>
    <font>
      <b/>
      <i/>
      <sz val="12"/>
      <name val="Calibri"/>
      <family val="2"/>
      <scheme val="minor"/>
    </font>
    <font>
      <i/>
      <sz val="9"/>
      <color rgb="FF000000"/>
      <name val="Arial"/>
      <family val="2"/>
    </font>
  </fonts>
  <fills count="41">
    <fill>
      <patternFill patternType="none"/>
    </fill>
    <fill>
      <patternFill patternType="gray125"/>
    </fill>
    <fill>
      <patternFill patternType="solid">
        <fgColor indexed="11"/>
        <bgColor indexed="64"/>
      </patternFill>
    </fill>
    <fill>
      <patternFill patternType="solid">
        <fgColor indexed="4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rgb="FFC6EFCE"/>
      </patternFill>
    </fill>
    <fill>
      <patternFill patternType="solid">
        <fgColor rgb="FFFFCC99"/>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EB9C"/>
      </patternFill>
    </fill>
    <fill>
      <patternFill patternType="solid">
        <fgColor rgb="FFFFC7CE"/>
      </patternFill>
    </fill>
    <fill>
      <patternFill patternType="solid">
        <fgColor theme="6" tint="0.39997558519241921"/>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92D050"/>
        <bgColor indexed="64"/>
      </patternFill>
    </fill>
    <fill>
      <patternFill patternType="solid">
        <fgColor rgb="FF99FF66"/>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top style="thin">
        <color theme="4"/>
      </top>
      <bottom style="double">
        <color theme="4"/>
      </bottom>
      <diagonal/>
    </border>
    <border>
      <left style="medium">
        <color rgb="FF525252"/>
      </left>
      <right style="medium">
        <color rgb="FF525252"/>
      </right>
      <top style="medium">
        <color rgb="FF525252"/>
      </top>
      <bottom style="medium">
        <color rgb="FF525252"/>
      </bottom>
      <diagonal/>
    </border>
  </borders>
  <cellStyleXfs count="45">
    <xf numFmtId="0" fontId="0" fillId="0" borderId="0"/>
    <xf numFmtId="43" fontId="7" fillId="0" borderId="0" applyFont="0" applyFill="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9" fillId="0" borderId="0" applyNumberFormat="0" applyFill="0" applyBorder="0" applyAlignment="0" applyProtection="0"/>
    <xf numFmtId="0" fontId="7" fillId="22" borderId="25" applyNumberFormat="0" applyFont="0" applyAlignment="0" applyProtection="0"/>
    <xf numFmtId="0" fontId="10" fillId="23" borderId="26" applyNumberFormat="0" applyAlignment="0" applyProtection="0"/>
    <xf numFmtId="0" fontId="11" fillId="0" borderId="0" applyNumberFormat="0" applyFill="0" applyBorder="0" applyAlignment="0" applyProtection="0"/>
    <xf numFmtId="0" fontId="12" fillId="24" borderId="0" applyNumberFormat="0" applyBorder="0" applyAlignment="0" applyProtection="0"/>
    <xf numFmtId="0" fontId="13" fillId="25" borderId="26" applyNumberFormat="0" applyAlignment="0" applyProtection="0"/>
    <xf numFmtId="0" fontId="14" fillId="26" borderId="27" applyNumberFormat="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15" fillId="33" borderId="0" applyNumberFormat="0" applyBorder="0" applyAlignment="0" applyProtection="0"/>
    <xf numFmtId="0" fontId="16" fillId="23" borderId="28" applyNumberFormat="0" applyAlignment="0" applyProtection="0"/>
    <xf numFmtId="0" fontId="17" fillId="0" borderId="29" applyNumberFormat="0" applyFill="0" applyAlignment="0" applyProtection="0"/>
    <xf numFmtId="0" fontId="18" fillId="0" borderId="30" applyNumberFormat="0" applyFill="0" applyAlignment="0" applyProtection="0"/>
    <xf numFmtId="0" fontId="19" fillId="0" borderId="31" applyNumberFormat="0" applyFill="0" applyAlignment="0" applyProtection="0"/>
    <xf numFmtId="0" fontId="19" fillId="0" borderId="0" applyNumberFormat="0" applyFill="0" applyBorder="0" applyAlignment="0" applyProtection="0"/>
    <xf numFmtId="9" fontId="7" fillId="0" borderId="0" applyFont="0" applyFill="0" applyBorder="0" applyAlignment="0" applyProtection="0"/>
    <xf numFmtId="0" fontId="20" fillId="0" borderId="32" applyNumberFormat="0" applyFill="0" applyAlignment="0" applyProtection="0"/>
    <xf numFmtId="0" fontId="21" fillId="0" borderId="0" applyNumberFormat="0" applyFill="0" applyBorder="0" applyAlignment="0" applyProtection="0"/>
    <xf numFmtId="0" fontId="22" fillId="0" borderId="33" applyNumberFormat="0" applyFill="0" applyAlignment="0" applyProtection="0"/>
    <xf numFmtId="0" fontId="23" fillId="34" borderId="0" applyNumberFormat="0" applyBorder="0" applyAlignment="0" applyProtection="0"/>
    <xf numFmtId="44" fontId="7" fillId="0" borderId="0" applyFont="0" applyFill="0" applyBorder="0" applyAlignment="0" applyProtection="0"/>
  </cellStyleXfs>
  <cellXfs count="414">
    <xf numFmtId="0" fontId="0" fillId="0" borderId="0" xfId="0"/>
    <xf numFmtId="0" fontId="0" fillId="0" borderId="0" xfId="0" applyAlignment="1">
      <alignment horizontal="left"/>
    </xf>
    <xf numFmtId="0" fontId="0" fillId="0" borderId="0" xfId="0"/>
    <xf numFmtId="0" fontId="0" fillId="35" borderId="0" xfId="0" applyFill="1"/>
    <xf numFmtId="0" fontId="0" fillId="36" borderId="0" xfId="0" applyFill="1"/>
    <xf numFmtId="0" fontId="26" fillId="36" borderId="0" xfId="0" applyFont="1" applyFill="1" applyAlignment="1">
      <alignment horizontal="left"/>
    </xf>
    <xf numFmtId="0" fontId="27" fillId="36" borderId="0" xfId="0" applyFont="1" applyFill="1" applyAlignment="1">
      <alignment horizontal="left"/>
    </xf>
    <xf numFmtId="1" fontId="0" fillId="0" borderId="0" xfId="0" applyNumberFormat="1"/>
    <xf numFmtId="166" fontId="7" fillId="35" borderId="0" xfId="1" applyNumberFormat="1" applyFont="1" applyFill="1"/>
    <xf numFmtId="0" fontId="0" fillId="0" borderId="0" xfId="0" applyFill="1" applyBorder="1"/>
    <xf numFmtId="2" fontId="0" fillId="0" borderId="0" xfId="0" applyNumberFormat="1"/>
    <xf numFmtId="0" fontId="22" fillId="0" borderId="0" xfId="0" applyFont="1"/>
    <xf numFmtId="0" fontId="0" fillId="0" borderId="0" xfId="0" applyNumberFormat="1"/>
    <xf numFmtId="9" fontId="0" fillId="0" borderId="0" xfId="39" applyFont="1"/>
    <xf numFmtId="9" fontId="0" fillId="0" borderId="0" xfId="0" applyNumberFormat="1"/>
    <xf numFmtId="164" fontId="0" fillId="0" borderId="0" xfId="0" applyNumberFormat="1"/>
    <xf numFmtId="0" fontId="0" fillId="0" borderId="0" xfId="0" applyAlignment="1">
      <alignment horizontal="left" indent="1"/>
    </xf>
    <xf numFmtId="0" fontId="22" fillId="0" borderId="0" xfId="0" applyFont="1" applyAlignment="1">
      <alignment horizontal="left"/>
    </xf>
    <xf numFmtId="0" fontId="0" fillId="0" borderId="0" xfId="0" pivotButton="1"/>
    <xf numFmtId="0" fontId="24" fillId="36" borderId="0" xfId="0" applyFont="1" applyFill="1" applyAlignment="1">
      <alignment horizontal="left"/>
    </xf>
    <xf numFmtId="0" fontId="24" fillId="0" borderId="0" xfId="0" applyFont="1"/>
    <xf numFmtId="3" fontId="0" fillId="0" borderId="0" xfId="0" applyNumberFormat="1"/>
    <xf numFmtId="0" fontId="0" fillId="0" borderId="0" xfId="0" applyAlignment="1">
      <alignment horizontal="justify"/>
    </xf>
    <xf numFmtId="0" fontId="22" fillId="0" borderId="0" xfId="0" applyFont="1" applyAlignment="1">
      <alignment horizontal="justify"/>
    </xf>
    <xf numFmtId="0" fontId="22" fillId="38" borderId="0" xfId="0" applyFont="1" applyFill="1" applyAlignment="1">
      <alignment horizontal="justify"/>
    </xf>
    <xf numFmtId="0" fontId="22" fillId="38" borderId="0" xfId="0" applyFont="1" applyFill="1"/>
    <xf numFmtId="0" fontId="0" fillId="38" borderId="0" xfId="0" applyFill="1"/>
    <xf numFmtId="0" fontId="9" fillId="0" borderId="0" xfId="0" applyFont="1"/>
    <xf numFmtId="1" fontId="0" fillId="38" borderId="0" xfId="0" applyNumberFormat="1" applyFill="1"/>
    <xf numFmtId="0" fontId="0" fillId="0" borderId="0" xfId="0" applyAlignment="1"/>
    <xf numFmtId="0" fontId="9" fillId="0" borderId="0" xfId="0" applyFont="1" applyAlignment="1"/>
    <xf numFmtId="0" fontId="22" fillId="37" borderId="0" xfId="0" applyFont="1" applyFill="1" applyAlignment="1">
      <alignment horizontal="left"/>
    </xf>
    <xf numFmtId="9" fontId="22" fillId="37" borderId="0" xfId="39" applyFont="1" applyFill="1"/>
    <xf numFmtId="0" fontId="22" fillId="37" borderId="0" xfId="0" applyFont="1" applyFill="1"/>
    <xf numFmtId="9" fontId="22" fillId="37" borderId="0" xfId="0" applyNumberFormat="1" applyFont="1" applyFill="1"/>
    <xf numFmtId="1" fontId="9" fillId="0" borderId="0" xfId="0" applyNumberFormat="1" applyFont="1"/>
    <xf numFmtId="0" fontId="26" fillId="0" borderId="0" xfId="0" applyFont="1" applyFill="1" applyAlignment="1">
      <alignment horizontal="left"/>
    </xf>
    <xf numFmtId="0" fontId="0" fillId="0" borderId="0" xfId="0" applyFill="1"/>
    <xf numFmtId="0" fontId="0" fillId="0" borderId="1" xfId="0" applyFill="1" applyBorder="1"/>
    <xf numFmtId="0" fontId="22" fillId="0" borderId="4" xfId="0" applyFont="1" applyFill="1" applyBorder="1"/>
    <xf numFmtId="0" fontId="22" fillId="0" borderId="10" xfId="0" applyFont="1" applyFill="1" applyBorder="1"/>
    <xf numFmtId="0" fontId="22" fillId="0" borderId="23" xfId="0" applyFont="1" applyFill="1" applyBorder="1"/>
    <xf numFmtId="0" fontId="33" fillId="0" borderId="0" xfId="0" applyFont="1" applyFill="1" applyAlignment="1">
      <alignment horizontal="left"/>
    </xf>
    <xf numFmtId="0" fontId="0" fillId="0" borderId="1" xfId="0" applyFill="1" applyBorder="1" applyAlignment="1">
      <alignment horizontal="justify" vertical="justify"/>
    </xf>
    <xf numFmtId="0" fontId="31" fillId="0" borderId="5" xfId="0" applyFont="1" applyFill="1" applyBorder="1"/>
    <xf numFmtId="9" fontId="7" fillId="0" borderId="11" xfId="39" applyFont="1" applyFill="1" applyBorder="1"/>
    <xf numFmtId="0" fontId="0" fillId="0" borderId="5" xfId="0" applyFill="1" applyBorder="1"/>
    <xf numFmtId="0" fontId="0" fillId="0" borderId="11" xfId="0" applyFill="1" applyBorder="1"/>
    <xf numFmtId="0" fontId="22" fillId="0" borderId="1" xfId="0" applyFont="1" applyFill="1" applyBorder="1" applyAlignment="1">
      <alignment horizontal="justify" vertical="justify"/>
    </xf>
    <xf numFmtId="0" fontId="30" fillId="0" borderId="4" xfId="0" applyFont="1" applyFill="1" applyBorder="1"/>
    <xf numFmtId="0" fontId="30" fillId="0" borderId="10" xfId="0" applyFont="1" applyFill="1" applyBorder="1" applyAlignment="1">
      <alignment horizontal="center" wrapText="1"/>
    </xf>
    <xf numFmtId="9" fontId="31" fillId="0" borderId="11" xfId="0" applyNumberFormat="1" applyFont="1" applyFill="1" applyBorder="1"/>
    <xf numFmtId="9" fontId="7" fillId="0" borderId="11" xfId="39" applyNumberFormat="1" applyFont="1" applyFill="1" applyBorder="1"/>
    <xf numFmtId="0" fontId="30" fillId="0" borderId="5" xfId="0" applyFont="1" applyFill="1" applyBorder="1"/>
    <xf numFmtId="0" fontId="30" fillId="0" borderId="11" xfId="0" applyFont="1" applyFill="1" applyBorder="1"/>
    <xf numFmtId="0" fontId="0" fillId="0" borderId="6" xfId="0" applyFill="1" applyBorder="1" applyAlignment="1">
      <alignment horizontal="justify" vertical="justify"/>
    </xf>
    <xf numFmtId="2" fontId="0" fillId="0" borderId="1" xfId="0" applyNumberFormat="1" applyFill="1" applyBorder="1"/>
    <xf numFmtId="2" fontId="0" fillId="0" borderId="0" xfId="0" applyNumberFormat="1" applyFill="1"/>
    <xf numFmtId="0" fontId="8" fillId="0" borderId="5" xfId="0" applyFont="1" applyFill="1" applyBorder="1"/>
    <xf numFmtId="0" fontId="22" fillId="0" borderId="4" xfId="0" applyFont="1" applyFill="1" applyBorder="1" applyAlignment="1"/>
    <xf numFmtId="0" fontId="22" fillId="0" borderId="23" xfId="0" applyFont="1" applyFill="1" applyBorder="1" applyAlignment="1"/>
    <xf numFmtId="0" fontId="22" fillId="0" borderId="10" xfId="0" applyFont="1" applyFill="1" applyBorder="1" applyAlignment="1"/>
    <xf numFmtId="0" fontId="0" fillId="0" borderId="6" xfId="0" applyFill="1" applyBorder="1"/>
    <xf numFmtId="0" fontId="8" fillId="0" borderId="9" xfId="0" applyFont="1" applyFill="1" applyBorder="1"/>
    <xf numFmtId="0" fontId="0" fillId="0" borderId="7" xfId="0" applyFill="1" applyBorder="1"/>
    <xf numFmtId="0" fontId="0" fillId="0" borderId="9" xfId="0" applyFill="1" applyBorder="1"/>
    <xf numFmtId="0" fontId="0" fillId="0" borderId="20" xfId="0" applyFill="1" applyBorder="1"/>
    <xf numFmtId="0" fontId="30" fillId="0" borderId="0" xfId="0" applyFont="1" applyFill="1" applyBorder="1"/>
    <xf numFmtId="2" fontId="0" fillId="0" borderId="0" xfId="0" applyNumberFormat="1" applyFill="1" applyBorder="1"/>
    <xf numFmtId="9" fontId="7" fillId="0" borderId="0" xfId="39" applyFont="1" applyFill="1" applyBorder="1"/>
    <xf numFmtId="0" fontId="8" fillId="0" borderId="0" xfId="0" applyFont="1" applyFill="1"/>
    <xf numFmtId="9" fontId="0" fillId="0" borderId="1" xfId="39" applyFont="1" applyFill="1" applyBorder="1"/>
    <xf numFmtId="0" fontId="0" fillId="0" borderId="0" xfId="0" applyFill="1" applyAlignment="1">
      <alignment horizontal="left"/>
    </xf>
    <xf numFmtId="9" fontId="0" fillId="0" borderId="0" xfId="0" applyNumberFormat="1" applyFill="1"/>
    <xf numFmtId="0" fontId="26" fillId="0" borderId="0" xfId="0" applyFont="1" applyFill="1" applyAlignment="1">
      <alignment horizontal="justify" vertical="justify"/>
    </xf>
    <xf numFmtId="0" fontId="27" fillId="0" borderId="1" xfId="0" applyFont="1" applyFill="1" applyBorder="1" applyAlignment="1">
      <alignment horizontal="justify"/>
    </xf>
    <xf numFmtId="0" fontId="27" fillId="0" borderId="3" xfId="0" applyFont="1" applyFill="1" applyBorder="1" applyAlignment="1">
      <alignment horizontal="justify"/>
    </xf>
    <xf numFmtId="0" fontId="27" fillId="0" borderId="3" xfId="0" applyFont="1" applyFill="1" applyBorder="1" applyAlignment="1">
      <alignment horizontal="justify" vertical="justify"/>
    </xf>
    <xf numFmtId="0" fontId="22" fillId="0" borderId="3" xfId="0" applyFont="1" applyFill="1" applyBorder="1" applyAlignment="1">
      <alignment horizontal="right"/>
    </xf>
    <xf numFmtId="0" fontId="22" fillId="0" borderId="0" xfId="0" applyFont="1" applyFill="1" applyBorder="1" applyAlignment="1">
      <alignment horizontal="center"/>
    </xf>
    <xf numFmtId="1" fontId="22" fillId="0" borderId="3" xfId="0" applyNumberFormat="1" applyFont="1" applyFill="1" applyBorder="1" applyAlignment="1">
      <alignment horizontal="right"/>
    </xf>
    <xf numFmtId="0" fontId="27" fillId="0" borderId="2" xfId="0" applyFont="1" applyFill="1" applyBorder="1" applyAlignment="1">
      <alignment horizontal="left" wrapText="1"/>
    </xf>
    <xf numFmtId="0" fontId="24" fillId="0" borderId="0" xfId="0" applyFont="1" applyFill="1" applyBorder="1" applyAlignment="1">
      <alignment horizontal="center"/>
    </xf>
    <xf numFmtId="0" fontId="24" fillId="0" borderId="1" xfId="0" applyFont="1" applyFill="1" applyBorder="1" applyAlignment="1">
      <alignment horizontal="center"/>
    </xf>
    <xf numFmtId="0" fontId="24" fillId="0" borderId="3" xfId="0" applyFont="1" applyFill="1" applyBorder="1" applyAlignment="1">
      <alignment horizontal="center"/>
    </xf>
    <xf numFmtId="0" fontId="26" fillId="0" borderId="4" xfId="0" applyFont="1" applyFill="1" applyBorder="1" applyAlignment="1">
      <alignment horizontal="left" wrapText="1"/>
    </xf>
    <xf numFmtId="0" fontId="26" fillId="0" borderId="5" xfId="0" applyFont="1" applyFill="1" applyBorder="1" applyAlignment="1">
      <alignment horizontal="left" wrapText="1"/>
    </xf>
    <xf numFmtId="0" fontId="26" fillId="0" borderId="0" xfId="0" applyFont="1" applyFill="1" applyBorder="1" applyAlignment="1">
      <alignment horizontal="left" wrapText="1"/>
    </xf>
    <xf numFmtId="0" fontId="29" fillId="0" borderId="0" xfId="0" applyFont="1" applyFill="1" applyBorder="1" applyAlignment="1">
      <alignment horizontal="left" wrapText="1"/>
    </xf>
    <xf numFmtId="1" fontId="24" fillId="0" borderId="1" xfId="0" applyNumberFormat="1" applyFont="1" applyFill="1" applyBorder="1" applyAlignment="1">
      <alignment horizontal="center"/>
    </xf>
    <xf numFmtId="170" fontId="24" fillId="0" borderId="1" xfId="1" applyNumberFormat="1" applyFont="1" applyFill="1" applyBorder="1" applyAlignment="1">
      <alignment horizontal="center"/>
    </xf>
    <xf numFmtId="0" fontId="27" fillId="0" borderId="0" xfId="0" applyFont="1" applyFill="1" applyBorder="1" applyAlignment="1">
      <alignment horizontal="left"/>
    </xf>
    <xf numFmtId="0" fontId="22" fillId="0" borderId="0" xfId="0" applyFont="1" applyFill="1" applyBorder="1"/>
    <xf numFmtId="0" fontId="25" fillId="0" borderId="1" xfId="0" applyFont="1" applyFill="1" applyBorder="1" applyAlignment="1">
      <alignment horizontal="center"/>
    </xf>
    <xf numFmtId="0" fontId="25" fillId="0" borderId="3" xfId="0" applyFont="1" applyFill="1" applyBorder="1" applyAlignment="1">
      <alignment horizontal="center"/>
    </xf>
    <xf numFmtId="0" fontId="22" fillId="0" borderId="0" xfId="0" applyFont="1" applyFill="1"/>
    <xf numFmtId="0" fontId="33" fillId="0" borderId="0" xfId="0" applyFont="1" applyFill="1" applyBorder="1" applyAlignment="1">
      <alignment horizontal="left" wrapText="1"/>
    </xf>
    <xf numFmtId="0" fontId="31" fillId="0" borderId="0" xfId="0" applyFont="1" applyFill="1"/>
    <xf numFmtId="0" fontId="28" fillId="0" borderId="0" xfId="0" applyFont="1" applyFill="1" applyBorder="1" applyAlignment="1">
      <alignment horizontal="left" wrapText="1"/>
    </xf>
    <xf numFmtId="1" fontId="38" fillId="0" borderId="3" xfId="0" applyNumberFormat="1" applyFont="1" applyFill="1" applyBorder="1" applyAlignment="1">
      <alignment horizontal="right"/>
    </xf>
    <xf numFmtId="0" fontId="37" fillId="0" borderId="1" xfId="0" applyFont="1" applyFill="1" applyBorder="1" applyAlignment="1">
      <alignment horizontal="center"/>
    </xf>
    <xf numFmtId="0" fontId="37" fillId="0" borderId="3" xfId="0" applyFont="1" applyFill="1" applyBorder="1" applyAlignment="1">
      <alignment horizontal="center"/>
    </xf>
    <xf numFmtId="0" fontId="38" fillId="0" borderId="0" xfId="0" applyFont="1" applyFill="1"/>
    <xf numFmtId="1" fontId="0" fillId="0" borderId="0" xfId="0" applyNumberFormat="1" applyFill="1"/>
    <xf numFmtId="0" fontId="5" fillId="0" borderId="0" xfId="0" applyFont="1" applyFill="1" applyBorder="1" applyAlignment="1">
      <alignment horizontal="left" wrapText="1"/>
    </xf>
    <xf numFmtId="0" fontId="39" fillId="0" borderId="0" xfId="0" applyFont="1" applyFill="1"/>
    <xf numFmtId="0" fontId="27" fillId="0" borderId="2" xfId="0" applyFont="1" applyFill="1" applyBorder="1" applyAlignment="1">
      <alignment horizontal="left"/>
    </xf>
    <xf numFmtId="1" fontId="22" fillId="0" borderId="0" xfId="0" applyNumberFormat="1" applyFont="1" applyFill="1"/>
    <xf numFmtId="0" fontId="27" fillId="0" borderId="0" xfId="0" applyFont="1" applyFill="1" applyAlignment="1">
      <alignment horizontal="left"/>
    </xf>
    <xf numFmtId="166" fontId="7" fillId="0" borderId="0" xfId="1" applyNumberFormat="1" applyFont="1" applyFill="1"/>
    <xf numFmtId="0" fontId="0" fillId="0" borderId="0" xfId="0" applyFill="1" applyAlignment="1">
      <alignment horizontal="center"/>
    </xf>
    <xf numFmtId="167" fontId="7" fillId="0" borderId="0" xfId="44" applyNumberFormat="1" applyFont="1" applyFill="1"/>
    <xf numFmtId="166" fontId="7" fillId="0" borderId="0" xfId="1" applyNumberFormat="1" applyFont="1" applyFill="1" applyAlignment="1">
      <alignment horizontal="center"/>
    </xf>
    <xf numFmtId="9" fontId="0" fillId="0" borderId="0" xfId="39" applyFont="1" applyFill="1" applyBorder="1" applyAlignment="1">
      <alignment horizontal="right"/>
    </xf>
    <xf numFmtId="9" fontId="0" fillId="0" borderId="0" xfId="0" applyNumberFormat="1" applyFill="1" applyBorder="1" applyAlignment="1">
      <alignment horizontal="right"/>
    </xf>
    <xf numFmtId="9" fontId="24" fillId="0" borderId="0" xfId="39" applyFont="1" applyFill="1" applyBorder="1" applyAlignment="1">
      <alignment horizontal="right"/>
    </xf>
    <xf numFmtId="0" fontId="27" fillId="0" borderId="0" xfId="0" applyFont="1" applyFill="1" applyAlignment="1">
      <alignment horizontal="justify" vertical="justify"/>
    </xf>
    <xf numFmtId="9" fontId="0" fillId="0" borderId="3" xfId="39" applyFont="1" applyFill="1" applyBorder="1"/>
    <xf numFmtId="0" fontId="26" fillId="39" borderId="0" xfId="0" applyFont="1" applyFill="1" applyAlignment="1">
      <alignment horizontal="left"/>
    </xf>
    <xf numFmtId="0" fontId="33" fillId="39" borderId="0" xfId="0" applyFont="1" applyFill="1" applyAlignment="1">
      <alignment horizontal="left"/>
    </xf>
    <xf numFmtId="0" fontId="0" fillId="39" borderId="0" xfId="0" applyFill="1"/>
    <xf numFmtId="0" fontId="0" fillId="39" borderId="0" xfId="0" applyFill="1" applyAlignment="1">
      <alignment horizontal="left"/>
    </xf>
    <xf numFmtId="0" fontId="27" fillId="39" borderId="0" xfId="0" applyFont="1" applyFill="1" applyAlignment="1">
      <alignment horizontal="justify" vertical="justify"/>
    </xf>
    <xf numFmtId="0" fontId="26" fillId="39" borderId="0" xfId="0" applyFont="1" applyFill="1" applyAlignment="1">
      <alignment horizontal="center"/>
    </xf>
    <xf numFmtId="0" fontId="26" fillId="39" borderId="0" xfId="0" applyFont="1" applyFill="1" applyBorder="1" applyAlignment="1">
      <alignment horizontal="center" wrapText="1"/>
    </xf>
    <xf numFmtId="1" fontId="26" fillId="39" borderId="0" xfId="0" applyNumberFormat="1" applyFont="1" applyFill="1" applyBorder="1" applyAlignment="1">
      <alignment horizontal="center" wrapText="1"/>
    </xf>
    <xf numFmtId="1" fontId="27" fillId="39" borderId="0" xfId="0" applyNumberFormat="1" applyFont="1" applyFill="1" applyBorder="1" applyAlignment="1">
      <alignment horizontal="center" wrapText="1"/>
    </xf>
    <xf numFmtId="0" fontId="33" fillId="39" borderId="0" xfId="0" applyFont="1" applyFill="1" applyBorder="1" applyAlignment="1">
      <alignment horizontal="center" wrapText="1"/>
    </xf>
    <xf numFmtId="0" fontId="24" fillId="39" borderId="0" xfId="0" applyFont="1" applyFill="1" applyBorder="1" applyAlignment="1">
      <alignment horizontal="center"/>
    </xf>
    <xf numFmtId="0" fontId="36" fillId="39" borderId="0" xfId="0" applyFont="1" applyFill="1" applyBorder="1" applyAlignment="1">
      <alignment horizontal="left" wrapText="1"/>
    </xf>
    <xf numFmtId="0" fontId="25" fillId="39" borderId="0" xfId="0" applyFont="1" applyFill="1" applyBorder="1" applyAlignment="1">
      <alignment horizontal="center"/>
    </xf>
    <xf numFmtId="0" fontId="6" fillId="39" borderId="0" xfId="0" applyFont="1" applyFill="1" applyBorder="1" applyAlignment="1">
      <alignment horizontal="center"/>
    </xf>
    <xf numFmtId="0" fontId="27" fillId="39" borderId="0" xfId="0" applyFont="1" applyFill="1" applyAlignment="1">
      <alignment horizontal="left"/>
    </xf>
    <xf numFmtId="0" fontId="0" fillId="39" borderId="0" xfId="0" applyFill="1" applyBorder="1" applyAlignment="1">
      <alignment horizontal="center"/>
    </xf>
    <xf numFmtId="0" fontId="0" fillId="0" borderId="0" xfId="0" applyFont="1" applyFill="1"/>
    <xf numFmtId="0" fontId="14" fillId="0" borderId="0" xfId="0" applyFont="1" applyFill="1"/>
    <xf numFmtId="2" fontId="22" fillId="0" borderId="0" xfId="0" applyNumberFormat="1" applyFont="1" applyFill="1"/>
    <xf numFmtId="0" fontId="28" fillId="39" borderId="0" xfId="0" applyFont="1" applyFill="1" applyBorder="1" applyAlignment="1">
      <alignment horizontal="center" wrapText="1"/>
    </xf>
    <xf numFmtId="0" fontId="0" fillId="39" borderId="1" xfId="0" applyFill="1" applyBorder="1"/>
    <xf numFmtId="1" fontId="26" fillId="39" borderId="0" xfId="0" applyNumberFormat="1" applyFont="1" applyFill="1" applyAlignment="1">
      <alignment horizontal="center"/>
    </xf>
    <xf numFmtId="0" fontId="0" fillId="39" borderId="1" xfId="0" applyFont="1" applyFill="1" applyBorder="1" applyAlignment="1">
      <alignment horizontal="right"/>
    </xf>
    <xf numFmtId="0" fontId="0" fillId="39" borderId="3" xfId="0" applyFont="1" applyFill="1" applyBorder="1" applyAlignment="1">
      <alignment horizontal="right"/>
    </xf>
    <xf numFmtId="1" fontId="0" fillId="39" borderId="1" xfId="0" applyNumberFormat="1" applyFont="1" applyFill="1" applyBorder="1" applyAlignment="1">
      <alignment horizontal="right"/>
    </xf>
    <xf numFmtId="0" fontId="24" fillId="39" borderId="1" xfId="0" applyFont="1" applyFill="1" applyBorder="1" applyAlignment="1">
      <alignment horizontal="center"/>
    </xf>
    <xf numFmtId="0" fontId="24" fillId="39" borderId="6" xfId="0" applyFont="1" applyFill="1" applyBorder="1" applyAlignment="1">
      <alignment horizontal="center"/>
    </xf>
    <xf numFmtId="0" fontId="24" fillId="39" borderId="3" xfId="0" applyFont="1" applyFill="1" applyBorder="1" applyAlignment="1">
      <alignment horizontal="center"/>
    </xf>
    <xf numFmtId="1" fontId="24" fillId="39" borderId="1" xfId="0" applyNumberFormat="1" applyFont="1" applyFill="1" applyBorder="1" applyAlignment="1">
      <alignment horizontal="center"/>
    </xf>
    <xf numFmtId="1" fontId="24" fillId="39" borderId="3" xfId="0" applyNumberFormat="1" applyFont="1" applyFill="1" applyBorder="1" applyAlignment="1">
      <alignment horizontal="center"/>
    </xf>
    <xf numFmtId="1" fontId="25" fillId="39" borderId="1" xfId="0" applyNumberFormat="1" applyFont="1" applyFill="1" applyBorder="1" applyAlignment="1">
      <alignment horizontal="center"/>
    </xf>
    <xf numFmtId="170" fontId="32" fillId="39" borderId="1" xfId="0" applyNumberFormat="1" applyFont="1" applyFill="1" applyBorder="1" applyAlignment="1">
      <alignment horizontal="center"/>
    </xf>
    <xf numFmtId="0" fontId="32" fillId="39" borderId="1" xfId="0" applyFont="1" applyFill="1" applyBorder="1" applyAlignment="1">
      <alignment horizontal="center"/>
    </xf>
    <xf numFmtId="0" fontId="32" fillId="39" borderId="3" xfId="0" applyFont="1" applyFill="1" applyBorder="1" applyAlignment="1">
      <alignment horizontal="center"/>
    </xf>
    <xf numFmtId="1" fontId="32" fillId="39" borderId="7" xfId="0" applyNumberFormat="1" applyFont="1" applyFill="1" applyBorder="1" applyAlignment="1">
      <alignment horizontal="center"/>
    </xf>
    <xf numFmtId="1" fontId="32" fillId="39" borderId="8" xfId="0" applyNumberFormat="1" applyFont="1" applyFill="1" applyBorder="1" applyAlignment="1">
      <alignment horizontal="center"/>
    </xf>
    <xf numFmtId="1" fontId="25" fillId="39" borderId="6" xfId="0" applyNumberFormat="1" applyFont="1" applyFill="1" applyBorder="1" applyAlignment="1">
      <alignment horizontal="center"/>
    </xf>
    <xf numFmtId="1" fontId="24" fillId="39" borderId="6" xfId="0" applyNumberFormat="1" applyFont="1" applyFill="1" applyBorder="1" applyAlignment="1">
      <alignment horizontal="center"/>
    </xf>
    <xf numFmtId="1" fontId="22" fillId="39" borderId="0" xfId="0" applyNumberFormat="1" applyFont="1" applyFill="1"/>
    <xf numFmtId="0" fontId="42" fillId="0" borderId="0" xfId="0" applyFont="1" applyFill="1" applyAlignment="1">
      <alignment horizontal="left"/>
    </xf>
    <xf numFmtId="0" fontId="42" fillId="0" borderId="0" xfId="0" applyFont="1" applyFill="1" applyAlignment="1">
      <alignment horizontal="justify" vertical="justify"/>
    </xf>
    <xf numFmtId="165" fontId="24" fillId="39" borderId="3" xfId="0" applyNumberFormat="1" applyFont="1" applyFill="1" applyBorder="1" applyAlignment="1">
      <alignment horizontal="center"/>
    </xf>
    <xf numFmtId="0" fontId="39" fillId="39" borderId="0" xfId="0" applyFont="1" applyFill="1"/>
    <xf numFmtId="0" fontId="22" fillId="39" borderId="0" xfId="0" applyFont="1" applyFill="1"/>
    <xf numFmtId="1" fontId="0" fillId="36" borderId="1" xfId="0" applyNumberFormat="1" applyFont="1" applyFill="1" applyBorder="1" applyAlignment="1">
      <alignment horizontal="right"/>
    </xf>
    <xf numFmtId="1" fontId="0" fillId="36" borderId="3" xfId="0" applyNumberFormat="1" applyFont="1" applyFill="1" applyBorder="1" applyAlignment="1">
      <alignment horizontal="right"/>
    </xf>
    <xf numFmtId="1" fontId="25" fillId="36" borderId="2" xfId="0" applyNumberFormat="1" applyFont="1" applyFill="1" applyBorder="1" applyAlignment="1">
      <alignment horizontal="right"/>
    </xf>
    <xf numFmtId="0" fontId="24" fillId="36" borderId="1" xfId="0" applyFont="1" applyFill="1" applyBorder="1" applyAlignment="1">
      <alignment horizontal="center"/>
    </xf>
    <xf numFmtId="0" fontId="27" fillId="36" borderId="0" xfId="0" applyFont="1" applyFill="1" applyBorder="1" applyAlignment="1">
      <alignment horizontal="left" wrapText="1"/>
    </xf>
    <xf numFmtId="0" fontId="27" fillId="36" borderId="0" xfId="0" applyFont="1" applyFill="1" applyBorder="1" applyAlignment="1">
      <alignment horizontal="center" wrapText="1"/>
    </xf>
    <xf numFmtId="0" fontId="40" fillId="36" borderId="0" xfId="0" applyFont="1" applyFill="1" applyBorder="1" applyAlignment="1">
      <alignment horizontal="center" wrapText="1"/>
    </xf>
    <xf numFmtId="0" fontId="41" fillId="36" borderId="0" xfId="0" applyFont="1" applyFill="1" applyBorder="1" applyAlignment="1">
      <alignment horizontal="center" wrapText="1"/>
    </xf>
    <xf numFmtId="0" fontId="25" fillId="36" borderId="6" xfId="0" applyFont="1" applyFill="1" applyBorder="1" applyAlignment="1">
      <alignment horizontal="center"/>
    </xf>
    <xf numFmtId="0" fontId="25" fillId="36" borderId="1" xfId="0" applyFont="1" applyFill="1" applyBorder="1" applyAlignment="1">
      <alignment horizontal="center"/>
    </xf>
    <xf numFmtId="0" fontId="25" fillId="36" borderId="3" xfId="0" applyFont="1" applyFill="1" applyBorder="1" applyAlignment="1">
      <alignment horizontal="center"/>
    </xf>
    <xf numFmtId="0" fontId="22" fillId="36" borderId="0" xfId="0" applyFont="1" applyFill="1"/>
    <xf numFmtId="0" fontId="42" fillId="40" borderId="0" xfId="0" applyFont="1" applyFill="1" applyAlignment="1">
      <alignment horizontal="center"/>
    </xf>
    <xf numFmtId="0" fontId="42" fillId="40" borderId="0" xfId="0" applyFont="1" applyFill="1" applyBorder="1" applyAlignment="1">
      <alignment horizontal="center" wrapText="1"/>
    </xf>
    <xf numFmtId="0" fontId="45" fillId="40" borderId="0" xfId="0" applyFont="1" applyFill="1" applyBorder="1" applyAlignment="1">
      <alignment horizontal="center" wrapText="1"/>
    </xf>
    <xf numFmtId="1" fontId="42" fillId="40" borderId="0" xfId="0" applyNumberFormat="1" applyFont="1" applyFill="1" applyBorder="1" applyAlignment="1">
      <alignment horizontal="center" wrapText="1"/>
    </xf>
    <xf numFmtId="1" fontId="45" fillId="40" borderId="0" xfId="0" applyNumberFormat="1" applyFont="1" applyFill="1" applyBorder="1" applyAlignment="1">
      <alignment horizontal="center" wrapText="1"/>
    </xf>
    <xf numFmtId="0" fontId="44" fillId="40" borderId="0" xfId="0" applyFont="1" applyFill="1" applyBorder="1"/>
    <xf numFmtId="0" fontId="46" fillId="40" borderId="0" xfId="0" applyFont="1" applyFill="1" applyBorder="1" applyAlignment="1">
      <alignment horizontal="left" wrapText="1"/>
    </xf>
    <xf numFmtId="0" fontId="45" fillId="40" borderId="0" xfId="0" applyFont="1" applyFill="1" applyBorder="1" applyAlignment="1">
      <alignment horizontal="left" wrapText="1"/>
    </xf>
    <xf numFmtId="0" fontId="30" fillId="40" borderId="0" xfId="0" applyFont="1" applyFill="1" applyBorder="1"/>
    <xf numFmtId="1" fontId="44" fillId="40" borderId="0" xfId="0" applyNumberFormat="1" applyFont="1" applyFill="1" applyBorder="1"/>
    <xf numFmtId="0" fontId="43" fillId="40" borderId="0" xfId="0" applyFont="1" applyFill="1" applyBorder="1" applyAlignment="1">
      <alignment horizontal="center"/>
    </xf>
    <xf numFmtId="1" fontId="47" fillId="40" borderId="0" xfId="0" applyNumberFormat="1" applyFont="1" applyFill="1" applyBorder="1" applyAlignment="1">
      <alignment horizontal="left" wrapText="1"/>
    </xf>
    <xf numFmtId="0" fontId="47" fillId="40" borderId="0" xfId="0" applyFont="1" applyFill="1" applyBorder="1" applyAlignment="1">
      <alignment horizontal="left" wrapText="1"/>
    </xf>
    <xf numFmtId="0" fontId="42" fillId="40" borderId="0" xfId="0" applyFont="1" applyFill="1" applyBorder="1" applyAlignment="1">
      <alignment horizontal="left" wrapText="1"/>
    </xf>
    <xf numFmtId="0" fontId="26" fillId="36" borderId="0" xfId="0" applyFont="1" applyFill="1" applyBorder="1" applyAlignment="1">
      <alignment horizontal="left" wrapText="1"/>
    </xf>
    <xf numFmtId="0" fontId="26" fillId="36" borderId="0" xfId="0" applyFont="1" applyFill="1" applyBorder="1" applyAlignment="1">
      <alignment horizontal="center" wrapText="1"/>
    </xf>
    <xf numFmtId="0" fontId="0" fillId="36" borderId="1" xfId="0" applyFill="1" applyBorder="1"/>
    <xf numFmtId="0" fontId="49" fillId="0" borderId="0" xfId="0" applyFont="1" applyFill="1"/>
    <xf numFmtId="0" fontId="24" fillId="36" borderId="6" xfId="0" applyFont="1" applyFill="1" applyBorder="1" applyAlignment="1">
      <alignment horizontal="center"/>
    </xf>
    <xf numFmtId="1" fontId="24" fillId="36" borderId="1" xfId="0" applyNumberFormat="1" applyFont="1" applyFill="1" applyBorder="1" applyAlignment="1">
      <alignment horizontal="center"/>
    </xf>
    <xf numFmtId="1" fontId="24" fillId="36" borderId="3" xfId="0" applyNumberFormat="1" applyFont="1" applyFill="1" applyBorder="1" applyAlignment="1">
      <alignment horizontal="center"/>
    </xf>
    <xf numFmtId="0" fontId="24" fillId="36" borderId="3" xfId="0" applyFont="1" applyFill="1" applyBorder="1" applyAlignment="1">
      <alignment horizontal="center"/>
    </xf>
    <xf numFmtId="1" fontId="25" fillId="36" borderId="1" xfId="0" applyNumberFormat="1" applyFont="1" applyFill="1" applyBorder="1" applyAlignment="1">
      <alignment horizontal="center"/>
    </xf>
    <xf numFmtId="1" fontId="25" fillId="36" borderId="3" xfId="0" applyNumberFormat="1" applyFont="1" applyFill="1" applyBorder="1" applyAlignment="1">
      <alignment horizontal="center"/>
    </xf>
    <xf numFmtId="1" fontId="37" fillId="36" borderId="1" xfId="0" applyNumberFormat="1" applyFont="1" applyFill="1" applyBorder="1" applyAlignment="1">
      <alignment horizontal="center"/>
    </xf>
    <xf numFmtId="1" fontId="37" fillId="36" borderId="6" xfId="0" applyNumberFormat="1" applyFont="1" applyFill="1" applyBorder="1" applyAlignment="1">
      <alignment horizontal="center"/>
    </xf>
    <xf numFmtId="0" fontId="25" fillId="36" borderId="0" xfId="0" applyFont="1" applyFill="1" applyBorder="1" applyAlignment="1">
      <alignment horizontal="center"/>
    </xf>
    <xf numFmtId="0" fontId="43" fillId="36" borderId="0" xfId="0" applyFont="1" applyFill="1" applyBorder="1" applyAlignment="1">
      <alignment horizontal="center"/>
    </xf>
    <xf numFmtId="0" fontId="48" fillId="36" borderId="0" xfId="0" applyFont="1" applyFill="1" applyBorder="1" applyAlignment="1">
      <alignment horizontal="center"/>
    </xf>
    <xf numFmtId="0" fontId="42" fillId="36" borderId="0" xfId="0" applyFont="1" applyFill="1" applyBorder="1" applyAlignment="1">
      <alignment horizontal="left" wrapText="1"/>
    </xf>
    <xf numFmtId="0" fontId="45" fillId="36" borderId="0" xfId="0" applyFont="1" applyFill="1" applyBorder="1" applyAlignment="1">
      <alignment horizontal="left" wrapText="1"/>
    </xf>
    <xf numFmtId="1" fontId="25" fillId="36" borderId="6" xfId="0" applyNumberFormat="1" applyFont="1" applyFill="1" applyBorder="1" applyAlignment="1">
      <alignment horizontal="center"/>
    </xf>
    <xf numFmtId="170" fontId="25" fillId="36" borderId="1" xfId="0" applyNumberFormat="1" applyFont="1" applyFill="1" applyBorder="1" applyAlignment="1">
      <alignment horizontal="center"/>
    </xf>
    <xf numFmtId="1" fontId="22" fillId="36" borderId="0" xfId="0" applyNumberFormat="1" applyFont="1" applyFill="1"/>
    <xf numFmtId="0" fontId="6" fillId="39" borderId="3" xfId="0" applyFont="1" applyFill="1" applyBorder="1" applyAlignment="1">
      <alignment horizontal="center"/>
    </xf>
    <xf numFmtId="0" fontId="25" fillId="39" borderId="1" xfId="0" applyFont="1" applyFill="1" applyBorder="1" applyAlignment="1">
      <alignment horizontal="center"/>
    </xf>
    <xf numFmtId="0" fontId="25" fillId="39" borderId="3" xfId="0" applyFont="1" applyFill="1" applyBorder="1" applyAlignment="1">
      <alignment horizontal="center"/>
    </xf>
    <xf numFmtId="0" fontId="27" fillId="0" borderId="0" xfId="0" applyFont="1" applyFill="1" applyAlignment="1">
      <alignment horizontal="center"/>
    </xf>
    <xf numFmtId="0" fontId="28" fillId="0" borderId="0" xfId="0" applyFont="1" applyFill="1" applyAlignment="1">
      <alignment horizontal="center"/>
    </xf>
    <xf numFmtId="0" fontId="22" fillId="0" borderId="0" xfId="0" applyFont="1" applyFill="1" applyAlignment="1">
      <alignment horizontal="center"/>
    </xf>
    <xf numFmtId="0" fontId="41" fillId="0" borderId="1" xfId="0" applyFont="1" applyFill="1" applyBorder="1" applyAlignment="1">
      <alignment horizontal="center"/>
    </xf>
    <xf numFmtId="0" fontId="50" fillId="0" borderId="0" xfId="0" applyFont="1" applyFill="1" applyBorder="1" applyAlignment="1">
      <alignment horizontal="center"/>
    </xf>
    <xf numFmtId="1" fontId="51" fillId="0" borderId="0" xfId="0" applyNumberFormat="1" applyFont="1" applyFill="1" applyBorder="1" applyAlignment="1">
      <alignment horizontal="center"/>
    </xf>
    <xf numFmtId="1" fontId="51" fillId="36" borderId="0" xfId="0" applyNumberFormat="1" applyFont="1" applyFill="1" applyBorder="1" applyAlignment="1">
      <alignment horizontal="center"/>
    </xf>
    <xf numFmtId="1" fontId="52" fillId="0" borderId="0" xfId="0" applyNumberFormat="1" applyFont="1" applyFill="1" applyBorder="1" applyAlignment="1">
      <alignment horizontal="center"/>
    </xf>
    <xf numFmtId="1" fontId="53" fillId="36" borderId="0" xfId="0" applyNumberFormat="1" applyFont="1" applyFill="1" applyBorder="1" applyAlignment="1">
      <alignment horizontal="center"/>
    </xf>
    <xf numFmtId="1" fontId="40" fillId="0" borderId="0" xfId="0" applyNumberFormat="1" applyFont="1" applyFill="1" applyBorder="1" applyAlignment="1">
      <alignment horizontal="center"/>
    </xf>
    <xf numFmtId="1" fontId="40" fillId="36" borderId="0" xfId="0" applyNumberFormat="1" applyFont="1" applyFill="1" applyBorder="1" applyAlignment="1">
      <alignment horizontal="center"/>
    </xf>
    <xf numFmtId="0" fontId="54" fillId="0" borderId="0" xfId="0" applyFont="1" applyFill="1" applyAlignment="1">
      <alignment horizontal="center"/>
    </xf>
    <xf numFmtId="0" fontId="14" fillId="0" borderId="0" xfId="0" applyFont="1" applyFill="1" applyAlignment="1">
      <alignment horizontal="center"/>
    </xf>
    <xf numFmtId="166" fontId="22" fillId="0" borderId="0" xfId="1" applyNumberFormat="1" applyFont="1" applyFill="1" applyAlignment="1">
      <alignment horizontal="center"/>
    </xf>
    <xf numFmtId="0" fontId="41" fillId="0" borderId="3" xfId="0" applyFont="1" applyFill="1" applyBorder="1" applyAlignment="1">
      <alignment horizontal="justify"/>
    </xf>
    <xf numFmtId="0" fontId="41" fillId="0" borderId="6" xfId="0" applyFont="1" applyFill="1" applyBorder="1" applyAlignment="1">
      <alignment horizontal="center"/>
    </xf>
    <xf numFmtId="0" fontId="36" fillId="0" borderId="0" xfId="0" applyFont="1" applyFill="1" applyAlignment="1">
      <alignment horizontal="left"/>
    </xf>
    <xf numFmtId="0" fontId="55" fillId="3" borderId="0" xfId="0" applyFont="1" applyFill="1"/>
    <xf numFmtId="0" fontId="56" fillId="3" borderId="0" xfId="0" applyFont="1" applyFill="1"/>
    <xf numFmtId="0" fontId="9" fillId="3" borderId="0" xfId="0" applyFont="1" applyFill="1"/>
    <xf numFmtId="0" fontId="9" fillId="3" borderId="0" xfId="0" applyFont="1" applyFill="1" applyBorder="1"/>
    <xf numFmtId="0" fontId="9" fillId="3" borderId="11" xfId="0" applyFont="1" applyFill="1" applyBorder="1"/>
    <xf numFmtId="0" fontId="9" fillId="36" borderId="0" xfId="0" applyFont="1" applyFill="1" applyBorder="1"/>
    <xf numFmtId="0" fontId="56" fillId="2" borderId="0" xfId="0" applyFont="1" applyFill="1"/>
    <xf numFmtId="0" fontId="9" fillId="2" borderId="0" xfId="0" applyFont="1" applyFill="1"/>
    <xf numFmtId="0" fontId="57" fillId="36" borderId="0" xfId="0" applyFont="1" applyFill="1" applyBorder="1" applyAlignment="1">
      <alignment horizontal="center"/>
    </xf>
    <xf numFmtId="0" fontId="58" fillId="2" borderId="0" xfId="0" applyFont="1" applyFill="1"/>
    <xf numFmtId="0" fontId="58" fillId="2" borderId="0" xfId="0" applyFont="1" applyFill="1" applyAlignment="1">
      <alignment horizontal="right"/>
    </xf>
    <xf numFmtId="0" fontId="59" fillId="2" borderId="6" xfId="0" applyFont="1" applyFill="1" applyBorder="1"/>
    <xf numFmtId="0" fontId="59" fillId="0" borderId="1" xfId="0" applyFont="1" applyFill="1" applyBorder="1" applyAlignment="1"/>
    <xf numFmtId="0" fontId="59" fillId="2" borderId="0" xfId="0" applyFont="1" applyFill="1" applyAlignment="1"/>
    <xf numFmtId="0" fontId="59" fillId="3" borderId="0" xfId="0" applyFont="1" applyFill="1" applyBorder="1"/>
    <xf numFmtId="1" fontId="9" fillId="3" borderId="1" xfId="0" applyNumberFormat="1" applyFont="1" applyFill="1" applyBorder="1"/>
    <xf numFmtId="0" fontId="9" fillId="36" borderId="21" xfId="0" applyFont="1" applyFill="1" applyBorder="1"/>
    <xf numFmtId="0" fontId="9" fillId="36" borderId="14" xfId="0" applyFont="1" applyFill="1" applyBorder="1"/>
    <xf numFmtId="0" fontId="9" fillId="36" borderId="22" xfId="0" applyFont="1" applyFill="1" applyBorder="1"/>
    <xf numFmtId="164" fontId="9" fillId="3" borderId="1" xfId="0" applyNumberFormat="1" applyFont="1" applyFill="1" applyBorder="1"/>
    <xf numFmtId="0" fontId="9" fillId="36" borderId="15" xfId="0" applyFont="1" applyFill="1" applyBorder="1"/>
    <xf numFmtId="1" fontId="9" fillId="36" borderId="0" xfId="0" applyNumberFormat="1" applyFont="1" applyFill="1" applyBorder="1"/>
    <xf numFmtId="9" fontId="9" fillId="36" borderId="16" xfId="39" applyFont="1" applyFill="1" applyBorder="1"/>
    <xf numFmtId="0" fontId="59" fillId="2" borderId="0" xfId="0" applyFont="1" applyFill="1"/>
    <xf numFmtId="0" fontId="9" fillId="36" borderId="0" xfId="0" applyFont="1" applyFill="1"/>
    <xf numFmtId="0" fontId="59" fillId="0" borderId="1" xfId="0" applyFont="1" applyFill="1" applyBorder="1" applyAlignment="1">
      <alignment horizontal="right"/>
    </xf>
    <xf numFmtId="2" fontId="9" fillId="0" borderId="0" xfId="0" applyNumberFormat="1" applyFont="1"/>
    <xf numFmtId="9" fontId="9" fillId="0" borderId="0" xfId="39" applyFont="1"/>
    <xf numFmtId="0" fontId="9" fillId="36" borderId="17" xfId="0" applyFont="1" applyFill="1" applyBorder="1"/>
    <xf numFmtId="1" fontId="9" fillId="36" borderId="12" xfId="0" applyNumberFormat="1" applyFont="1" applyFill="1" applyBorder="1"/>
    <xf numFmtId="9" fontId="9" fillId="36" borderId="18" xfId="39" applyFont="1" applyFill="1" applyBorder="1"/>
    <xf numFmtId="0" fontId="59" fillId="2" borderId="0" xfId="0" applyFont="1" applyFill="1" applyAlignment="1">
      <alignment horizontal="center"/>
    </xf>
    <xf numFmtId="0" fontId="9" fillId="3" borderId="12" xfId="0" applyFont="1" applyFill="1" applyBorder="1"/>
    <xf numFmtId="0" fontId="9" fillId="3" borderId="13" xfId="0" applyFont="1" applyFill="1" applyBorder="1"/>
    <xf numFmtId="0" fontId="58" fillId="2" borderId="0" xfId="0" applyFont="1" applyFill="1" applyAlignment="1">
      <alignment horizontal="center" wrapText="1"/>
    </xf>
    <xf numFmtId="0" fontId="60" fillId="36" borderId="14" xfId="0" applyFont="1" applyFill="1" applyBorder="1" applyAlignment="1">
      <alignment horizontal="center"/>
    </xf>
    <xf numFmtId="0" fontId="59" fillId="2" borderId="15" xfId="0" applyFont="1" applyFill="1" applyBorder="1" applyAlignment="1">
      <alignment horizontal="center"/>
    </xf>
    <xf numFmtId="0" fontId="59" fillId="2" borderId="0" xfId="0" applyFont="1" applyFill="1" applyBorder="1" applyAlignment="1">
      <alignment horizontal="center"/>
    </xf>
    <xf numFmtId="0" fontId="58" fillId="2" borderId="16" xfId="0" applyFont="1" applyFill="1" applyBorder="1" applyAlignment="1">
      <alignment horizontal="center"/>
    </xf>
    <xf numFmtId="0" fontId="58" fillId="36" borderId="0" xfId="0" applyFont="1" applyFill="1" applyBorder="1" applyAlignment="1">
      <alignment horizontal="center"/>
    </xf>
    <xf numFmtId="0" fontId="9" fillId="2" borderId="17" xfId="0" applyFont="1" applyFill="1" applyBorder="1"/>
    <xf numFmtId="0" fontId="9" fillId="2" borderId="12" xfId="0" applyFont="1" applyFill="1" applyBorder="1"/>
    <xf numFmtId="0" fontId="9" fillId="2" borderId="18" xfId="0" applyFont="1" applyFill="1" applyBorder="1"/>
    <xf numFmtId="0" fontId="9" fillId="36" borderId="12" xfId="0" applyFont="1" applyFill="1" applyBorder="1"/>
    <xf numFmtId="0" fontId="9" fillId="2" borderId="0" xfId="0" applyFont="1" applyFill="1" applyBorder="1"/>
    <xf numFmtId="0" fontId="9" fillId="0" borderId="21" xfId="0" applyFont="1" applyBorder="1"/>
    <xf numFmtId="0" fontId="9" fillId="0" borderId="14" xfId="0" applyFont="1" applyBorder="1"/>
    <xf numFmtId="0" fontId="9" fillId="0" borderId="22" xfId="0" applyFont="1" applyBorder="1"/>
    <xf numFmtId="0" fontId="9" fillId="36" borderId="16" xfId="0" applyFont="1" applyFill="1" applyBorder="1"/>
    <xf numFmtId="0" fontId="9" fillId="3" borderId="19" xfId="4" applyFont="1" applyFill="1" applyBorder="1"/>
    <xf numFmtId="2" fontId="9" fillId="3" borderId="19" xfId="4" applyNumberFormat="1" applyFont="1" applyFill="1" applyBorder="1"/>
    <xf numFmtId="0" fontId="9" fillId="3" borderId="6" xfId="4" applyFont="1" applyFill="1" applyBorder="1"/>
    <xf numFmtId="0" fontId="9" fillId="0" borderId="8" xfId="4" applyFont="1" applyFill="1" applyBorder="1"/>
    <xf numFmtId="0" fontId="9" fillId="3" borderId="9" xfId="4" applyFont="1" applyFill="1" applyBorder="1"/>
    <xf numFmtId="0" fontId="9" fillId="36" borderId="0" xfId="4" applyFont="1" applyFill="1" applyBorder="1"/>
    <xf numFmtId="0" fontId="9" fillId="0" borderId="7" xfId="4" applyFont="1" applyFill="1" applyBorder="1"/>
    <xf numFmtId="0" fontId="9" fillId="3" borderId="8" xfId="4" applyFont="1" applyFill="1" applyBorder="1"/>
    <xf numFmtId="0" fontId="9" fillId="0" borderId="1" xfId="4" applyFont="1" applyFill="1" applyBorder="1"/>
    <xf numFmtId="0" fontId="9" fillId="36" borderId="15" xfId="4" applyFont="1" applyFill="1" applyBorder="1"/>
    <xf numFmtId="0" fontId="9" fillId="0" borderId="6" xfId="4" applyFont="1" applyFill="1" applyBorder="1"/>
    <xf numFmtId="0" fontId="9" fillId="36" borderId="17" xfId="4" applyFont="1" applyFill="1" applyBorder="1"/>
    <xf numFmtId="0" fontId="9" fillId="36" borderId="12" xfId="4" applyFont="1" applyFill="1" applyBorder="1"/>
    <xf numFmtId="0" fontId="9" fillId="0" borderId="0" xfId="4" applyFont="1" applyFill="1" applyBorder="1"/>
    <xf numFmtId="1" fontId="9" fillId="0" borderId="0" xfId="4" applyNumberFormat="1" applyFont="1" applyFill="1" applyBorder="1"/>
    <xf numFmtId="0" fontId="9" fillId="36" borderId="8" xfId="4" applyFont="1" applyFill="1" applyBorder="1"/>
    <xf numFmtId="0" fontId="9" fillId="2" borderId="10" xfId="0" applyFont="1" applyFill="1" applyBorder="1"/>
    <xf numFmtId="2" fontId="9" fillId="36" borderId="0" xfId="0" applyNumberFormat="1" applyFont="1" applyFill="1" applyBorder="1"/>
    <xf numFmtId="0" fontId="9" fillId="2" borderId="7" xfId="0" applyFont="1" applyFill="1" applyBorder="1"/>
    <xf numFmtId="0" fontId="9" fillId="0" borderId="19" xfId="0" applyFont="1" applyBorder="1"/>
    <xf numFmtId="0" fontId="59" fillId="3" borderId="19" xfId="0" applyFont="1" applyFill="1" applyBorder="1"/>
    <xf numFmtId="0" fontId="9" fillId="3" borderId="19" xfId="0" applyFont="1" applyFill="1" applyBorder="1"/>
    <xf numFmtId="0" fontId="9" fillId="0" borderId="1" xfId="0" applyFont="1" applyBorder="1"/>
    <xf numFmtId="0" fontId="9" fillId="3" borderId="1" xfId="4" applyFont="1" applyFill="1" applyBorder="1"/>
    <xf numFmtId="0" fontId="9" fillId="36" borderId="1" xfId="4" applyFont="1" applyFill="1" applyBorder="1"/>
    <xf numFmtId="0" fontId="9" fillId="2" borderId="11" xfId="0" applyFont="1" applyFill="1" applyBorder="1"/>
    <xf numFmtId="0" fontId="9" fillId="0" borderId="0" xfId="0" applyFont="1" applyFill="1" applyBorder="1"/>
    <xf numFmtId="0" fontId="59" fillId="3" borderId="0" xfId="0" applyFont="1" applyFill="1"/>
    <xf numFmtId="0" fontId="9" fillId="0" borderId="0" xfId="0" applyFont="1" applyBorder="1"/>
    <xf numFmtId="0" fontId="58" fillId="2" borderId="0" xfId="0" applyFont="1" applyFill="1" applyBorder="1"/>
    <xf numFmtId="2" fontId="9" fillId="2" borderId="0" xfId="0" applyNumberFormat="1" applyFont="1" applyFill="1" applyBorder="1"/>
    <xf numFmtId="0" fontId="9" fillId="0" borderId="20" xfId="0" applyFont="1" applyBorder="1"/>
    <xf numFmtId="0" fontId="58" fillId="2" borderId="20" xfId="0" applyFont="1" applyFill="1" applyBorder="1"/>
    <xf numFmtId="2" fontId="9" fillId="2" borderId="20" xfId="0" applyNumberFormat="1" applyFont="1" applyFill="1" applyBorder="1"/>
    <xf numFmtId="2" fontId="9" fillId="36" borderId="20" xfId="0" applyNumberFormat="1" applyFont="1" applyFill="1" applyBorder="1"/>
    <xf numFmtId="9" fontId="9" fillId="36" borderId="0" xfId="39" applyFont="1" applyFill="1" applyBorder="1"/>
    <xf numFmtId="2" fontId="9" fillId="36" borderId="16" xfId="0" applyNumberFormat="1" applyFont="1" applyFill="1" applyBorder="1"/>
    <xf numFmtId="1" fontId="9" fillId="36" borderId="16" xfId="0" applyNumberFormat="1" applyFont="1" applyFill="1" applyBorder="1"/>
    <xf numFmtId="0" fontId="9" fillId="36" borderId="18" xfId="0" applyFont="1" applyFill="1" applyBorder="1"/>
    <xf numFmtId="0" fontId="26" fillId="36" borderId="23" xfId="0" applyFont="1" applyFill="1" applyBorder="1" applyAlignment="1">
      <alignment horizontal="left"/>
    </xf>
    <xf numFmtId="0" fontId="26" fillId="36" borderId="0" xfId="0" applyFont="1" applyFill="1" applyBorder="1" applyAlignment="1">
      <alignment horizontal="left"/>
    </xf>
    <xf numFmtId="0" fontId="26" fillId="36" borderId="20" xfId="0" applyFont="1" applyFill="1" applyBorder="1" applyAlignment="1">
      <alignment horizontal="left"/>
    </xf>
    <xf numFmtId="0" fontId="22" fillId="36" borderId="4" xfId="0" applyFont="1" applyFill="1" applyBorder="1" applyAlignment="1">
      <alignment horizontal="left"/>
    </xf>
    <xf numFmtId="0" fontId="26" fillId="36" borderId="10" xfId="0" applyFont="1" applyFill="1" applyBorder="1" applyAlignment="1">
      <alignment horizontal="left"/>
    </xf>
    <xf numFmtId="0" fontId="22" fillId="36" borderId="5" xfId="0" applyFont="1" applyFill="1" applyBorder="1" applyAlignment="1">
      <alignment horizontal="left"/>
    </xf>
    <xf numFmtId="0" fontId="26" fillId="36" borderId="11" xfId="0" applyFont="1" applyFill="1" applyBorder="1" applyAlignment="1">
      <alignment horizontal="left"/>
    </xf>
    <xf numFmtId="0" fontId="22" fillId="36" borderId="9" xfId="0" applyFont="1" applyFill="1" applyBorder="1" applyAlignment="1">
      <alignment horizontal="left"/>
    </xf>
    <xf numFmtId="0" fontId="26" fillId="36" borderId="7" xfId="0" applyFont="1" applyFill="1" applyBorder="1" applyAlignment="1">
      <alignment horizontal="left"/>
    </xf>
    <xf numFmtId="0" fontId="42" fillId="36" borderId="0" xfId="0" applyFont="1" applyFill="1" applyAlignment="1">
      <alignment horizontal="center"/>
    </xf>
    <xf numFmtId="0" fontId="45" fillId="36" borderId="0" xfId="0" applyFont="1" applyFill="1" applyAlignment="1">
      <alignment horizontal="center"/>
    </xf>
    <xf numFmtId="0" fontId="42" fillId="36" borderId="0" xfId="0" applyFont="1" applyFill="1" applyBorder="1" applyAlignment="1">
      <alignment horizontal="center" wrapText="1"/>
    </xf>
    <xf numFmtId="0" fontId="32" fillId="36" borderId="0" xfId="0" applyFont="1" applyFill="1" applyBorder="1" applyAlignment="1">
      <alignment horizontal="center"/>
    </xf>
    <xf numFmtId="0" fontId="27" fillId="0" borderId="2" xfId="0" applyFont="1" applyFill="1" applyBorder="1" applyAlignment="1">
      <alignment horizontal="justify"/>
    </xf>
    <xf numFmtId="0" fontId="27" fillId="0" borderId="10" xfId="0" applyFont="1" applyFill="1" applyBorder="1" applyAlignment="1">
      <alignment horizontal="center"/>
    </xf>
    <xf numFmtId="0" fontId="24" fillId="39" borderId="8" xfId="0" applyFont="1" applyFill="1" applyBorder="1" applyAlignment="1">
      <alignment horizontal="center"/>
    </xf>
    <xf numFmtId="1" fontId="42" fillId="36" borderId="0" xfId="0" applyNumberFormat="1" applyFont="1" applyFill="1" applyBorder="1" applyAlignment="1">
      <alignment horizontal="center" wrapText="1"/>
    </xf>
    <xf numFmtId="0" fontId="45" fillId="36" borderId="0" xfId="0" applyFont="1" applyFill="1" applyBorder="1" applyAlignment="1">
      <alignment horizontal="center" wrapText="1"/>
    </xf>
    <xf numFmtId="1" fontId="45" fillId="36" borderId="0" xfId="0" applyNumberFormat="1" applyFont="1" applyFill="1" applyBorder="1" applyAlignment="1">
      <alignment horizontal="center" wrapText="1"/>
    </xf>
    <xf numFmtId="0" fontId="22" fillId="36" borderId="0" xfId="0" applyFont="1" applyFill="1" applyAlignment="1">
      <alignment horizontal="left"/>
    </xf>
    <xf numFmtId="0" fontId="27" fillId="36" borderId="0" xfId="0" applyFont="1" applyFill="1" applyAlignment="1">
      <alignment horizontal="center"/>
    </xf>
    <xf numFmtId="0" fontId="30" fillId="36" borderId="0" xfId="0" applyFont="1" applyFill="1" applyBorder="1"/>
    <xf numFmtId="0" fontId="24" fillId="36" borderId="0" xfId="0" applyFont="1" applyFill="1" applyBorder="1" applyAlignment="1"/>
    <xf numFmtId="1" fontId="37" fillId="36" borderId="2" xfId="0" applyNumberFormat="1" applyFont="1" applyFill="1" applyBorder="1" applyAlignment="1">
      <alignment horizontal="center"/>
    </xf>
    <xf numFmtId="1" fontId="24" fillId="0" borderId="2" xfId="0" applyNumberFormat="1" applyFont="1" applyFill="1" applyBorder="1" applyAlignment="1">
      <alignment horizontal="center"/>
    </xf>
    <xf numFmtId="0" fontId="25" fillId="36" borderId="8" xfId="0" applyFont="1" applyFill="1" applyBorder="1" applyAlignment="1">
      <alignment horizontal="center"/>
    </xf>
    <xf numFmtId="0" fontId="25" fillId="36" borderId="9" xfId="0" applyFont="1" applyFill="1" applyBorder="1" applyAlignment="1">
      <alignment horizontal="center"/>
    </xf>
    <xf numFmtId="0" fontId="47" fillId="36" borderId="0" xfId="0" applyFont="1" applyFill="1" applyBorder="1" applyAlignment="1">
      <alignment horizontal="left" wrapText="1"/>
    </xf>
    <xf numFmtId="9" fontId="9" fillId="0" borderId="1" xfId="39" applyFont="1" applyFill="1" applyBorder="1"/>
    <xf numFmtId="9" fontId="9" fillId="0" borderId="0" xfId="0" applyNumberFormat="1" applyFont="1" applyFill="1"/>
    <xf numFmtId="0" fontId="44" fillId="36" borderId="0" xfId="0" applyFont="1" applyFill="1" applyBorder="1"/>
    <xf numFmtId="0" fontId="6" fillId="36" borderId="1" xfId="0" applyFont="1" applyFill="1" applyBorder="1" applyAlignment="1">
      <alignment horizontal="center"/>
    </xf>
    <xf numFmtId="0" fontId="27" fillId="0" borderId="0" xfId="0" applyFont="1" applyFill="1" applyBorder="1" applyAlignment="1">
      <alignment horizontal="left" wrapText="1"/>
    </xf>
    <xf numFmtId="0" fontId="37" fillId="39" borderId="0" xfId="0" applyFont="1" applyFill="1" applyBorder="1" applyAlignment="1">
      <alignment horizontal="center"/>
    </xf>
    <xf numFmtId="1" fontId="50" fillId="40" borderId="0" xfId="0" applyNumberFormat="1" applyFont="1" applyFill="1" applyBorder="1"/>
    <xf numFmtId="0" fontId="61" fillId="40" borderId="0" xfId="0" applyFont="1" applyFill="1" applyBorder="1" applyAlignment="1">
      <alignment horizontal="center"/>
    </xf>
    <xf numFmtId="0" fontId="41" fillId="40" borderId="0" xfId="0" applyFont="1" applyFill="1" applyBorder="1" applyAlignment="1">
      <alignment horizontal="left" wrapText="1"/>
    </xf>
    <xf numFmtId="1" fontId="25" fillId="39" borderId="3" xfId="0" applyNumberFormat="1" applyFont="1" applyFill="1" applyBorder="1" applyAlignment="1">
      <alignment horizontal="center"/>
    </xf>
    <xf numFmtId="1" fontId="25" fillId="0" borderId="1" xfId="0" applyNumberFormat="1" applyFont="1" applyFill="1" applyBorder="1" applyAlignment="1">
      <alignment horizontal="center"/>
    </xf>
    <xf numFmtId="1" fontId="22" fillId="39" borderId="0" xfId="0" applyNumberFormat="1" applyFont="1" applyFill="1" applyBorder="1" applyAlignment="1">
      <alignment horizontal="center"/>
    </xf>
    <xf numFmtId="0" fontId="50" fillId="40" borderId="0" xfId="0" applyFont="1" applyFill="1" applyBorder="1"/>
    <xf numFmtId="0" fontId="40" fillId="36" borderId="0" xfId="0" applyFont="1" applyFill="1" applyBorder="1" applyAlignment="1">
      <alignment horizontal="left" wrapText="1"/>
    </xf>
    <xf numFmtId="0" fontId="62" fillId="40" borderId="0" xfId="0" applyFont="1" applyFill="1" applyBorder="1" applyAlignment="1">
      <alignment horizontal="center"/>
    </xf>
    <xf numFmtId="0" fontId="41" fillId="36" borderId="0" xfId="0" applyFont="1" applyFill="1" applyBorder="1" applyAlignment="1">
      <alignment horizontal="left"/>
    </xf>
    <xf numFmtId="0" fontId="0" fillId="40" borderId="0" xfId="0" applyFill="1"/>
    <xf numFmtId="0" fontId="30" fillId="36" borderId="0" xfId="0" applyFont="1" applyFill="1"/>
    <xf numFmtId="0" fontId="0" fillId="36" borderId="0" xfId="0" applyFill="1" applyBorder="1"/>
    <xf numFmtId="0" fontId="43" fillId="36" borderId="0" xfId="0" applyFont="1" applyFill="1" applyBorder="1" applyAlignment="1">
      <alignment horizontal="left"/>
    </xf>
    <xf numFmtId="0" fontId="43" fillId="36" borderId="0" xfId="0" applyFont="1" applyFill="1" applyAlignment="1">
      <alignment horizontal="left"/>
    </xf>
    <xf numFmtId="0" fontId="33" fillId="0" borderId="3" xfId="0" applyFont="1" applyFill="1" applyBorder="1" applyAlignment="1">
      <alignment horizontal="justify"/>
    </xf>
    <xf numFmtId="0" fontId="27" fillId="0" borderId="10" xfId="0" applyFont="1" applyFill="1" applyBorder="1" applyAlignment="1">
      <alignment horizontal="justify"/>
    </xf>
    <xf numFmtId="0" fontId="24" fillId="39" borderId="7" xfId="0" applyFont="1" applyFill="1" applyBorder="1" applyAlignment="1">
      <alignment horizontal="center"/>
    </xf>
    <xf numFmtId="166" fontId="43" fillId="36" borderId="0" xfId="0" applyNumberFormat="1" applyFont="1" applyFill="1" applyBorder="1" applyAlignment="1">
      <alignment horizontal="center"/>
    </xf>
    <xf numFmtId="0" fontId="30" fillId="36" borderId="0" xfId="0" applyFont="1" applyFill="1" applyBorder="1" applyAlignment="1">
      <alignment horizontal="center"/>
    </xf>
    <xf numFmtId="166" fontId="30" fillId="36" borderId="0" xfId="1" applyNumberFormat="1" applyFont="1" applyFill="1"/>
    <xf numFmtId="166" fontId="30" fillId="36" borderId="0" xfId="1" applyNumberFormat="1" applyFont="1" applyFill="1" applyBorder="1" applyAlignment="1">
      <alignment horizontal="center"/>
    </xf>
    <xf numFmtId="0" fontId="26" fillId="0" borderId="0" xfId="0" applyFont="1" applyAlignment="1">
      <alignment horizontal="justify"/>
    </xf>
    <xf numFmtId="0" fontId="45" fillId="0" borderId="1" xfId="0" applyFont="1" applyFill="1" applyBorder="1" applyAlignment="1">
      <alignment horizontal="justify"/>
    </xf>
    <xf numFmtId="0" fontId="45" fillId="0" borderId="6" xfId="0" applyFont="1" applyFill="1" applyBorder="1" applyAlignment="1">
      <alignment horizontal="justify"/>
    </xf>
    <xf numFmtId="0" fontId="27" fillId="36" borderId="3" xfId="0" applyFont="1" applyFill="1" applyBorder="1" applyAlignment="1">
      <alignment horizontal="justify"/>
    </xf>
    <xf numFmtId="0" fontId="63" fillId="0" borderId="34" xfId="0" applyFont="1" applyBorder="1"/>
    <xf numFmtId="1" fontId="25" fillId="36" borderId="3" xfId="0" applyNumberFormat="1" applyFont="1" applyFill="1" applyBorder="1" applyAlignment="1">
      <alignment horizontal="center"/>
    </xf>
    <xf numFmtId="1" fontId="25" fillId="36" borderId="0" xfId="0" applyNumberFormat="1" applyFont="1" applyFill="1" applyBorder="1" applyAlignment="1">
      <alignment horizontal="center"/>
    </xf>
    <xf numFmtId="0" fontId="24" fillId="36" borderId="2" xfId="0" applyFont="1" applyFill="1" applyBorder="1" applyAlignment="1">
      <alignment horizontal="center"/>
    </xf>
    <xf numFmtId="0" fontId="24" fillId="36" borderId="24" xfId="0" applyFont="1" applyFill="1" applyBorder="1" applyAlignment="1">
      <alignment horizontal="center"/>
    </xf>
    <xf numFmtId="0" fontId="24" fillId="36" borderId="8" xfId="0" applyFont="1" applyFill="1" applyBorder="1" applyAlignment="1">
      <alignment horizontal="center"/>
    </xf>
    <xf numFmtId="0" fontId="24" fillId="36" borderId="4" xfId="0" applyFont="1" applyFill="1" applyBorder="1" applyAlignment="1">
      <alignment horizontal="center"/>
    </xf>
    <xf numFmtId="0" fontId="24" fillId="36" borderId="5" xfId="0" applyFont="1" applyFill="1" applyBorder="1" applyAlignment="1">
      <alignment horizontal="center"/>
    </xf>
    <xf numFmtId="0" fontId="24" fillId="36" borderId="9" xfId="0" applyFont="1" applyFill="1" applyBorder="1" applyAlignment="1">
      <alignment horizontal="center"/>
    </xf>
    <xf numFmtId="1" fontId="24" fillId="36" borderId="2" xfId="0" applyNumberFormat="1" applyFont="1" applyFill="1" applyBorder="1" applyAlignment="1">
      <alignment horizontal="center"/>
    </xf>
    <xf numFmtId="1" fontId="24" fillId="36" borderId="24" xfId="0" applyNumberFormat="1" applyFont="1" applyFill="1" applyBorder="1" applyAlignment="1">
      <alignment horizontal="center"/>
    </xf>
    <xf numFmtId="1" fontId="24" fillId="36" borderId="8" xfId="0" applyNumberFormat="1" applyFont="1" applyFill="1" applyBorder="1" applyAlignment="1">
      <alignment horizontal="center"/>
    </xf>
    <xf numFmtId="0" fontId="32" fillId="36" borderId="2" xfId="0" applyFont="1" applyFill="1" applyBorder="1" applyAlignment="1">
      <alignment horizontal="center"/>
    </xf>
    <xf numFmtId="0" fontId="32" fillId="36" borderId="24" xfId="0" applyFont="1" applyFill="1" applyBorder="1" applyAlignment="1">
      <alignment horizontal="center"/>
    </xf>
    <xf numFmtId="0" fontId="32" fillId="36" borderId="8" xfId="0" applyFont="1" applyFill="1" applyBorder="1" applyAlignment="1">
      <alignment horizontal="center"/>
    </xf>
    <xf numFmtId="0" fontId="24" fillId="36" borderId="10" xfId="0" applyFont="1" applyFill="1" applyBorder="1" applyAlignment="1">
      <alignment horizontal="center"/>
    </xf>
    <xf numFmtId="0" fontId="24" fillId="36" borderId="11" xfId="0" applyFont="1" applyFill="1" applyBorder="1" applyAlignment="1">
      <alignment horizontal="center"/>
    </xf>
    <xf numFmtId="0" fontId="24" fillId="36" borderId="7" xfId="0" applyFont="1" applyFill="1" applyBorder="1" applyAlignment="1">
      <alignment horizontal="center"/>
    </xf>
    <xf numFmtId="0" fontId="27" fillId="36" borderId="3" xfId="0" applyFont="1" applyFill="1" applyBorder="1" applyAlignment="1">
      <alignment horizontal="center"/>
    </xf>
    <xf numFmtId="0" fontId="27" fillId="36" borderId="19" xfId="0" applyFont="1" applyFill="1" applyBorder="1" applyAlignment="1">
      <alignment horizontal="center"/>
    </xf>
    <xf numFmtId="0" fontId="27" fillId="36" borderId="6" xfId="0" applyFont="1" applyFill="1" applyBorder="1" applyAlignment="1">
      <alignment horizontal="center"/>
    </xf>
    <xf numFmtId="1" fontId="24" fillId="36" borderId="9" xfId="0" applyNumberFormat="1" applyFont="1" applyFill="1" applyBorder="1" applyAlignment="1">
      <alignment horizontal="center"/>
    </xf>
    <xf numFmtId="1" fontId="24" fillId="36" borderId="20" xfId="0" applyNumberFormat="1" applyFont="1" applyFill="1" applyBorder="1" applyAlignment="1">
      <alignment horizontal="center"/>
    </xf>
    <xf numFmtId="1" fontId="24" fillId="36" borderId="7" xfId="0" applyNumberFormat="1" applyFont="1" applyFill="1" applyBorder="1" applyAlignment="1">
      <alignment horizontal="center"/>
    </xf>
    <xf numFmtId="0" fontId="25" fillId="0" borderId="19" xfId="0" applyFont="1" applyFill="1" applyBorder="1" applyAlignment="1">
      <alignment horizontal="center"/>
    </xf>
    <xf numFmtId="0" fontId="32" fillId="36" borderId="0" xfId="0" applyFont="1" applyFill="1" applyBorder="1" applyAlignment="1">
      <alignment horizontal="center"/>
    </xf>
    <xf numFmtId="0" fontId="22" fillId="36" borderId="0" xfId="0" applyFont="1" applyFill="1" applyBorder="1" applyAlignment="1">
      <alignment horizontal="center"/>
    </xf>
    <xf numFmtId="0" fontId="24" fillId="36" borderId="0" xfId="0" applyFont="1" applyFill="1" applyBorder="1" applyAlignment="1">
      <alignment horizontal="center"/>
    </xf>
    <xf numFmtId="1" fontId="25" fillId="36" borderId="3" xfId="0" applyNumberFormat="1" applyFont="1" applyFill="1" applyBorder="1" applyAlignment="1">
      <alignment horizontal="center"/>
    </xf>
    <xf numFmtId="1" fontId="25" fillId="36" borderId="19" xfId="0" applyNumberFormat="1" applyFont="1" applyFill="1" applyBorder="1" applyAlignment="1">
      <alignment horizontal="center"/>
    </xf>
    <xf numFmtId="1" fontId="25" fillId="36" borderId="6" xfId="0" applyNumberFormat="1" applyFont="1" applyFill="1" applyBorder="1" applyAlignment="1">
      <alignment horizontal="center"/>
    </xf>
    <xf numFmtId="0" fontId="24" fillId="36" borderId="19" xfId="0" applyFont="1" applyFill="1" applyBorder="1" applyAlignment="1">
      <alignment horizontal="center"/>
    </xf>
    <xf numFmtId="0" fontId="60" fillId="2" borderId="21" xfId="0" applyFont="1" applyFill="1" applyBorder="1" applyAlignment="1">
      <alignment horizontal="center"/>
    </xf>
    <xf numFmtId="0" fontId="60" fillId="2" borderId="14" xfId="0" applyFont="1" applyFill="1" applyBorder="1" applyAlignment="1">
      <alignment horizontal="center"/>
    </xf>
    <xf numFmtId="0" fontId="60" fillId="2" borderId="22" xfId="0" applyFont="1" applyFill="1" applyBorder="1" applyAlignment="1">
      <alignment horizontal="center"/>
    </xf>
    <xf numFmtId="0" fontId="57" fillId="3" borderId="0" xfId="0" applyFont="1" applyFill="1" applyBorder="1" applyAlignment="1">
      <alignment horizontal="center"/>
    </xf>
    <xf numFmtId="0" fontId="57" fillId="3" borderId="11" xfId="0" applyFont="1" applyFill="1" applyBorder="1" applyAlignment="1">
      <alignment horizontal="center"/>
    </xf>
    <xf numFmtId="0" fontId="58" fillId="2" borderId="0" xfId="0" applyFont="1" applyFill="1" applyAlignment="1">
      <alignment horizontal="right"/>
    </xf>
  </cellXfs>
  <cellStyles count="45">
    <cellStyle name="20 % - Markeringsfarve1" xfId="2" builtinId="30" customBuiltin="1"/>
    <cellStyle name="20 % - Markeringsfarve2" xfId="3" builtinId="34" customBuiltin="1"/>
    <cellStyle name="20 % - Markeringsfarve3" xfId="4" builtinId="38" customBuiltin="1"/>
    <cellStyle name="20 % - Markeringsfarve4" xfId="5" builtinId="42" customBuiltin="1"/>
    <cellStyle name="20 % - Markeringsfarve5" xfId="6" builtinId="46" customBuiltin="1"/>
    <cellStyle name="20 % - Markeringsfarve6" xfId="7" builtinId="50" customBuiltin="1"/>
    <cellStyle name="40 % - Markeringsfarve1" xfId="8" builtinId="31" customBuiltin="1"/>
    <cellStyle name="40 % - Markeringsfarve2" xfId="9" builtinId="35" customBuiltin="1"/>
    <cellStyle name="40 % - Markeringsfarve3" xfId="10" builtinId="39" customBuiltin="1"/>
    <cellStyle name="40 % - Markeringsfarve4" xfId="11" builtinId="43" customBuiltin="1"/>
    <cellStyle name="40 % - Markeringsfarve5" xfId="12" builtinId="47" customBuiltin="1"/>
    <cellStyle name="40 % - Markeringsfarve6" xfId="13" builtinId="51" customBuiltin="1"/>
    <cellStyle name="60 % - Markeringsfarve1" xfId="14" builtinId="32" customBuiltin="1"/>
    <cellStyle name="60 % - Markeringsfarve2" xfId="15" builtinId="36" customBuiltin="1"/>
    <cellStyle name="60 % - Markeringsfarve3" xfId="16" builtinId="40" customBuiltin="1"/>
    <cellStyle name="60 % - Markeringsfarve4" xfId="17" builtinId="44" customBuiltin="1"/>
    <cellStyle name="60 % - Markeringsfarve5" xfId="18" builtinId="48" customBuiltin="1"/>
    <cellStyle name="60 % - Markeringsfarve6" xfId="19" builtinId="52" customBuiltin="1"/>
    <cellStyle name="Advarselstekst" xfId="20" builtinId="11" customBuiltin="1"/>
    <cellStyle name="Bemærk!" xfId="21" builtinId="10" customBuiltin="1"/>
    <cellStyle name="Beregning" xfId="22" builtinId="22" customBuiltin="1"/>
    <cellStyle name="Forklarende tekst" xfId="23" builtinId="53" customBuiltin="1"/>
    <cellStyle name="God" xfId="24" builtinId="26" customBuiltin="1"/>
    <cellStyle name="Input" xfId="25" builtinId="20" customBuiltin="1"/>
    <cellStyle name="Komma" xfId="1" builtinId="3"/>
    <cellStyle name="Kontroller celle" xfId="26" builtinId="23" customBuiltin="1"/>
    <cellStyle name="Markeringsfarve1" xfId="27" builtinId="29" customBuiltin="1"/>
    <cellStyle name="Markeringsfarve2" xfId="28" builtinId="33" customBuiltin="1"/>
    <cellStyle name="Markeringsfarve3" xfId="29" builtinId="37" customBuiltin="1"/>
    <cellStyle name="Markeringsfarve4" xfId="30" builtinId="41" customBuiltin="1"/>
    <cellStyle name="Markeringsfarve5" xfId="31" builtinId="45" customBuiltin="1"/>
    <cellStyle name="Markeringsfarve6" xfId="32" builtinId="49" customBuiltin="1"/>
    <cellStyle name="Neutral" xfId="33" builtinId="28" customBuiltin="1"/>
    <cellStyle name="Normal" xfId="0" builtinId="0"/>
    <cellStyle name="Output" xfId="34" builtinId="21" customBuiltin="1"/>
    <cellStyle name="Overskrift 1" xfId="35" builtinId="16" customBuiltin="1"/>
    <cellStyle name="Overskrift 2" xfId="36" builtinId="17" customBuiltin="1"/>
    <cellStyle name="Overskrift 3" xfId="37" builtinId="18" customBuiltin="1"/>
    <cellStyle name="Overskrift 4" xfId="38" builtinId="19" customBuiltin="1"/>
    <cellStyle name="Procent" xfId="39" builtinId="5"/>
    <cellStyle name="Sammenkædet celle" xfId="40" builtinId="24" customBuiltin="1"/>
    <cellStyle name="Titel" xfId="41" builtinId="15" customBuiltin="1"/>
    <cellStyle name="Total" xfId="42" builtinId="25" customBuiltin="1"/>
    <cellStyle name="Ugyldig" xfId="43" builtinId="27" customBuiltin="1"/>
    <cellStyle name="Valuta" xfId="44" builtinId="4"/>
  </cellStyles>
  <dxfs count="0"/>
  <tableStyles count="0" defaultTableStyle="TableStyleMedium9" defaultPivotStyle="PivotStyleLight16"/>
  <colors>
    <mruColors>
      <color rgb="FF99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762000</xdr:colOff>
      <xdr:row>95</xdr:row>
      <xdr:rowOff>23812</xdr:rowOff>
    </xdr:from>
    <xdr:to>
      <xdr:col>9</xdr:col>
      <xdr:colOff>438398</xdr:colOff>
      <xdr:row>99</xdr:row>
      <xdr:rowOff>161378</xdr:rowOff>
    </xdr:to>
    <xdr:sp macro="" textlink="">
      <xdr:nvSpPr>
        <xdr:cNvPr id="2" name="Undertitel 5"/>
        <xdr:cNvSpPr>
          <a:spLocks noGrp="1"/>
        </xdr:cNvSpPr>
      </xdr:nvSpPr>
      <xdr:spPr bwMode="auto">
        <a:xfrm>
          <a:off x="8048625" y="18478500"/>
          <a:ext cx="2736304" cy="1042441"/>
        </a:xfrm>
        <a:prstGeom prst="rect">
          <a:avLst/>
        </a:prstGeom>
        <a:solidFill>
          <a:schemeClr val="bg1"/>
        </a:solidFill>
        <a:ln w="12700">
          <a:solidFill>
            <a:srgbClr val="000000"/>
          </a:solidFill>
          <a:miter lim="800000"/>
          <a:headEnd/>
          <a:tailEnd/>
        </a:ln>
        <a:extLst/>
      </xdr:spPr>
      <xdr:txBody>
        <a:bodyPr vert="horz" wrap="square" lIns="91440" tIns="45720" rIns="91440" bIns="45720" numCol="1" anchor="t" anchorCtr="0" compatLnSpc="1">
          <a:prstTxWarp prst="textNoShape">
            <a:avLst/>
          </a:prstTxWarp>
        </a:bodyPr>
        <a:lstStyle>
          <a:lvl1pPr marL="0" indent="0" algn="l" defTabSz="457200" rtl="0" eaLnBrk="0" fontAlgn="base" hangingPunct="0">
            <a:spcBef>
              <a:spcPct val="20000"/>
            </a:spcBef>
            <a:spcAft>
              <a:spcPct val="0"/>
            </a:spcAft>
            <a:buNone/>
            <a:defRPr lang="da-DK" sz="2400" b="0" kern="1200" smtClean="0">
              <a:solidFill>
                <a:srgbClr val="58595B"/>
              </a:solidFill>
              <a:latin typeface="Arial"/>
              <a:ea typeface="+mn-ea"/>
              <a:cs typeface="Arial"/>
            </a:defRPr>
          </a:lvl1pPr>
          <a:lvl2pPr marL="457200" indent="0" algn="ctr" defTabSz="457200" rtl="0" eaLnBrk="0" fontAlgn="base" hangingPunct="0">
            <a:spcBef>
              <a:spcPct val="20000"/>
            </a:spcBef>
            <a:spcAft>
              <a:spcPct val="0"/>
            </a:spcAft>
            <a:buNone/>
            <a:defRPr lang="en-US" sz="2000" kern="1200">
              <a:solidFill>
                <a:schemeClr val="tx1">
                  <a:tint val="75000"/>
                </a:schemeClr>
              </a:solidFill>
              <a:latin typeface="Arial" pitchFamily="34" charset="0"/>
              <a:ea typeface="+mn-ea"/>
              <a:cs typeface="Arial" pitchFamily="34" charset="0"/>
            </a:defRPr>
          </a:lvl2pPr>
          <a:lvl3pPr marL="914400" indent="0" algn="ctr" defTabSz="457200" rtl="0" eaLnBrk="0" fontAlgn="base" hangingPunct="0">
            <a:spcBef>
              <a:spcPct val="20000"/>
            </a:spcBef>
            <a:spcAft>
              <a:spcPct val="0"/>
            </a:spcAft>
            <a:buNone/>
            <a:defRPr lang="en-US" sz="2000" kern="1200">
              <a:solidFill>
                <a:schemeClr val="tx1">
                  <a:tint val="75000"/>
                </a:schemeClr>
              </a:solidFill>
              <a:latin typeface="Arial" pitchFamily="34" charset="0"/>
              <a:ea typeface="+mn-ea"/>
              <a:cs typeface="Arial" pitchFamily="34" charset="0"/>
            </a:defRPr>
          </a:lvl3pPr>
          <a:lvl4pPr marL="1371600" indent="0" algn="ctr" defTabSz="457200" rtl="0" eaLnBrk="0" fontAlgn="base" hangingPunct="0">
            <a:spcBef>
              <a:spcPct val="20000"/>
            </a:spcBef>
            <a:spcAft>
              <a:spcPct val="0"/>
            </a:spcAft>
            <a:buNone/>
            <a:defRPr lang="en-US" sz="2000" kern="1200">
              <a:solidFill>
                <a:schemeClr val="tx1">
                  <a:tint val="75000"/>
                </a:schemeClr>
              </a:solidFill>
              <a:latin typeface="Arial" pitchFamily="34" charset="0"/>
              <a:ea typeface="+mn-ea"/>
              <a:cs typeface="Arial" pitchFamily="34" charset="0"/>
            </a:defRPr>
          </a:lvl4pPr>
          <a:lvl5pPr marL="1828800" indent="0" algn="ctr" defTabSz="457200" rtl="0" eaLnBrk="0" fontAlgn="base" hangingPunct="0">
            <a:spcBef>
              <a:spcPct val="20000"/>
            </a:spcBef>
            <a:spcAft>
              <a:spcPct val="0"/>
            </a:spcAft>
            <a:buNone/>
            <a:defRPr lang="da-DK" sz="2000" kern="1200">
              <a:solidFill>
                <a:schemeClr val="tx1">
                  <a:tint val="75000"/>
                </a:schemeClr>
              </a:solidFill>
              <a:latin typeface="Arial" pitchFamily="34" charset="0"/>
              <a:ea typeface="+mn-ea"/>
              <a:cs typeface="Arial" pitchFamily="34" charset="0"/>
            </a:defRPr>
          </a:lvl5pPr>
          <a:lvl6pPr marL="2286000" indent="0" algn="ctr" defTabSz="457200" rtl="0" eaLnBrk="1" latinLnBrk="0" hangingPunct="1">
            <a:spcBef>
              <a:spcPct val="20000"/>
            </a:spcBef>
            <a:buFont typeface="Arial"/>
            <a:buNone/>
            <a:defRPr sz="2000" kern="1200">
              <a:solidFill>
                <a:schemeClr val="tx1">
                  <a:tint val="75000"/>
                </a:schemeClr>
              </a:solidFill>
              <a:latin typeface="+mn-lt"/>
              <a:ea typeface="+mn-ea"/>
              <a:cs typeface="+mn-cs"/>
            </a:defRPr>
          </a:lvl6pPr>
          <a:lvl7pPr marL="2743200" indent="0" algn="ctr" defTabSz="457200" rtl="0" eaLnBrk="1" latinLnBrk="0" hangingPunct="1">
            <a:spcBef>
              <a:spcPct val="20000"/>
            </a:spcBef>
            <a:buFont typeface="Arial"/>
            <a:buNone/>
            <a:defRPr sz="2000" kern="1200">
              <a:solidFill>
                <a:schemeClr val="tx1">
                  <a:tint val="75000"/>
                </a:schemeClr>
              </a:solidFill>
              <a:latin typeface="+mn-lt"/>
              <a:ea typeface="+mn-ea"/>
              <a:cs typeface="+mn-cs"/>
            </a:defRPr>
          </a:lvl7pPr>
          <a:lvl8pPr marL="3200400" indent="0" algn="ctr" defTabSz="457200" rtl="0" eaLnBrk="1" latinLnBrk="0" hangingPunct="1">
            <a:spcBef>
              <a:spcPct val="20000"/>
            </a:spcBef>
            <a:buFont typeface="Arial"/>
            <a:buNone/>
            <a:defRPr sz="2000" kern="1200">
              <a:solidFill>
                <a:schemeClr val="tx1">
                  <a:tint val="75000"/>
                </a:schemeClr>
              </a:solidFill>
              <a:latin typeface="+mn-lt"/>
              <a:ea typeface="+mn-ea"/>
              <a:cs typeface="+mn-cs"/>
            </a:defRPr>
          </a:lvl8pPr>
          <a:lvl9pPr marL="3657600" indent="0" algn="ctr" defTabSz="457200" rtl="0" eaLnBrk="1" latinLnBrk="0" hangingPunct="1">
            <a:spcBef>
              <a:spcPct val="20000"/>
            </a:spcBef>
            <a:buFont typeface="Arial"/>
            <a:buNone/>
            <a:defRPr sz="2000" kern="1200">
              <a:solidFill>
                <a:schemeClr val="tx1">
                  <a:tint val="75000"/>
                </a:schemeClr>
              </a:solidFill>
              <a:latin typeface="+mn-lt"/>
              <a:ea typeface="+mn-ea"/>
              <a:cs typeface="+mn-cs"/>
            </a:defRPr>
          </a:lvl9pPr>
        </a:lstStyle>
        <a:p>
          <a:pPr algn="ctr" eaLnBrk="1" hangingPunct="1"/>
          <a:r>
            <a:rPr sz="1200">
              <a:solidFill>
                <a:schemeClr val="tx1"/>
              </a:solidFill>
              <a:latin typeface="Arial" charset="0"/>
              <a:cs typeface="Arial" charset="0"/>
            </a:rPr>
            <a:t>Den Europæiske Union ved Den Europæiske Fond for Udvikling af Landdistrikter og Ministeriet for Fødevarer, Landbrug og Fiskeri har deltaget i finansieringen af projektet.</a:t>
          </a:r>
        </a:p>
      </xdr:txBody>
    </xdr:sp>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Arbejdsplanl&#230;gning\04%20DP4_%20ABC%20inkl%20tidsreg\01_%20Tidsregistrering\markdata\markdata%20NB.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file:///C:\Arbejdsplanl&#230;gning\04%20DP4_%20ABC%20inkl%20tidsreg\01_%20Tidsregistrering\markdata\markdata%20NB.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Jannik Toft Andersen" refreshedDate="40473.466994560185" createdVersion="3" refreshedVersion="3" minRefreshableVersion="3" recordCount="147">
  <cacheSource type="worksheet">
    <worksheetSource ref="A1:Q148" sheet="Data" r:id="rId2"/>
  </cacheSource>
  <cacheFields count="17">
    <cacheField name="Dato" numFmtId="165">
      <sharedItems containsSemiMixedTypes="0" containsNonDate="0" containsDate="1" containsString="0" minDate="2010-01-01T12:00:00" maxDate="2010-12-01T12:00:00" count="65">
        <d v="2010-03-19T12:00:00"/>
        <d v="2010-05-03T12:00:00"/>
        <d v="2010-05-04T12:00:00"/>
        <d v="2010-05-05T12:00:00"/>
        <d v="2010-05-11T12:00:00"/>
        <d v="2010-05-12T12:00:00"/>
        <d v="2010-05-14T12:00:00"/>
        <d v="2010-05-19T12:00:00"/>
        <d v="2010-05-31T12:00:00"/>
        <d v="2010-06-01T12:00:00"/>
        <d v="2010-06-05T12:00:00"/>
        <d v="2010-06-08T12:00:00"/>
        <d v="2010-06-29T12:00:00"/>
        <d v="2010-07-02T12:00:00"/>
        <d v="2010-07-13T12:00:00"/>
        <d v="2010-07-24T12:00:00"/>
        <d v="2010-07-29T12:00:00"/>
        <d v="2010-07-31T12:00:00"/>
        <d v="2010-08-03T12:00:00"/>
        <d v="2010-08-10T12:00:00"/>
        <d v="2010-08-11T12:00:00"/>
        <d v="2010-08-13T12:00:00"/>
        <d v="2010-08-18T12:00:00"/>
        <d v="2010-08-20T12:00:00"/>
        <d v="2010-10-20T12:00:00"/>
        <d v="2010-01-01T12:00:00"/>
        <d v="2010-03-30T12:00:00"/>
        <d v="2010-04-15T12:00:00"/>
        <d v="2010-04-18T12:00:00"/>
        <d v="2010-05-02T12:00:00"/>
        <d v="2010-07-23T12:00:00"/>
        <d v="2010-08-21T12:00:00"/>
        <d v="2010-04-13T12:00:00"/>
        <d v="2010-06-06T12:00:00"/>
        <d v="2010-06-09T12:00:00"/>
        <d v="2010-06-26T12:00:00"/>
        <d v="2010-07-07T12:00:00"/>
        <d v="2010-07-21T12:00:00"/>
        <d v="2010-10-15T12:00:00"/>
        <d v="2010-10-01T12:00:00"/>
        <d v="2010-12-01T12:00:00"/>
        <d v="2010-04-05T12:00:00"/>
        <d v="2010-11-01T12:00:00"/>
        <d v="2010-03-25T12:00:00"/>
        <d v="2010-04-01T12:00:00"/>
        <d v="2010-05-01T12:00:00"/>
        <d v="2010-05-25T12:00:00"/>
        <d v="2010-07-01T12:00:00"/>
        <d v="2010-07-15T12:00:00"/>
        <d v="2010-08-09T12:00:00"/>
        <d v="2010-04-02T12:00:00"/>
        <d v="2010-04-08T12:00:00"/>
        <d v="2010-04-10T12:00:00"/>
        <d v="2010-04-23T12:00:00"/>
        <d v="2010-05-10T12:00:00"/>
        <d v="2010-05-15T12:00:00"/>
        <d v="2010-05-30T12:00:00"/>
        <d v="2010-06-15T12:00:00"/>
        <d v="2010-06-25T12:00:00"/>
        <d v="2010-09-30T12:00:00"/>
        <d v="2010-04-25T12:00:00"/>
        <d v="2010-04-06T12:00:00"/>
        <d v="2010-04-11T12:00:00"/>
        <d v="2010-04-12T12:00:00"/>
        <d v="2010-08-16T12:00:00"/>
      </sharedItems>
    </cacheField>
    <cacheField name="Reg" numFmtId="164">
      <sharedItems containsSemiMixedTypes="0" containsString="0" containsNumber="1" containsInteger="1" minValue="0" maxValue="1"/>
    </cacheField>
    <cacheField name="Opgave" numFmtId="0">
      <sharedItems count="17">
        <s v="Plantebeskyttelse"/>
        <s v="           "/>
        <s v="Vedligeholdelse"/>
        <s v="Høst"/>
        <s v="Såning"/>
        <s v="Pløjning"/>
        <s v="Handelsgødning"/>
        <s v="Organisk gødning"/>
        <s v="Indlægning i silo"/>
        <s v="Frakørsel"/>
        <s v="Tromling"/>
        <s v="Flytning, vandingsmaskiner"/>
        <s v="Andet arbejde"/>
        <s v="Sammenrivning"/>
        <s v="Jordbehandling"/>
        <s v="Frakørsel, korn"/>
        <s v="Tærskning"/>
      </sharedItems>
    </cacheField>
    <cacheField name="Udførende" numFmtId="0">
      <sharedItems/>
    </cacheField>
    <cacheField name="Traktor" numFmtId="0">
      <sharedItems count="4">
        <s v="           "/>
        <s v="Claas 836 mf"/>
        <s v="Claas 836 rz"/>
        <s v="Lejet traktor"/>
      </sharedItems>
    </cacheField>
    <cacheField name="Maskine" numFmtId="0">
      <sharedItems count="12">
        <s v="           "/>
        <s v="Kombi såmask."/>
        <s v="Gyllevogn"/>
        <s v="Plov"/>
        <s v="Græsvogn"/>
        <s v="Græsrive"/>
        <s v="Vandingsmaskine"/>
        <s v="Gødningsspreder"/>
        <s v="Tromle"/>
        <s v="Sprøjte"/>
        <s v="Kornvogn"/>
        <s v="Lejet maskine"/>
      </sharedItems>
    </cacheField>
    <cacheField name="Starttid" numFmtId="0">
      <sharedItems containsNonDate="0" containsString="0" containsBlank="1"/>
    </cacheField>
    <cacheField name="Sluttid" numFmtId="0">
      <sharedItems containsNonDate="0" containsString="0" containsBlank="1"/>
    </cacheField>
    <cacheField name="Pause min" numFmtId="0">
      <sharedItems containsNonDate="0" containsString="0" containsBlank="1"/>
    </cacheField>
    <cacheField name="Timer" numFmtId="0">
      <sharedItems containsString="0" containsBlank="1" containsNumber="1" minValue="0.15" maxValue="32" count="37">
        <n v="5"/>
        <m/>
        <n v="0.5"/>
        <n v="0.8"/>
        <n v="2"/>
        <n v="10"/>
        <n v="0.15"/>
        <n v="0.25"/>
        <n v="3"/>
        <n v="2.15"/>
        <n v="1"/>
        <n v="1.5"/>
        <n v="30"/>
        <n v="32"/>
        <n v="13"/>
        <n v="4"/>
        <n v="8"/>
        <n v="9"/>
        <n v="25"/>
        <n v="27"/>
        <n v="5.5"/>
        <n v="11"/>
        <n v="7"/>
        <n v="2.5"/>
        <n v="20"/>
        <n v="7.5"/>
        <n v="9.5"/>
        <n v="8.25"/>
        <n v="2.25"/>
        <n v="9.75"/>
        <n v="17"/>
        <n v="3.5"/>
        <n v="11.5"/>
        <n v="12"/>
        <n v="28"/>
        <n v="12.5"/>
        <n v="21"/>
      </sharedItems>
    </cacheField>
    <cacheField name="Takst" numFmtId="0">
      <sharedItems/>
    </cacheField>
    <cacheField name="Maskin station" numFmtId="0">
      <sharedItems containsString="0" containsBlank="1" containsNumber="1" containsInteger="1" minValue="0" maxValue="1"/>
    </cacheField>
    <cacheField name="Marker" numFmtId="0">
      <sharedItems count="21">
        <s v="           "/>
        <s v="7-0, 30-0, 31-0"/>
        <s v="25-0"/>
        <s v="1-0"/>
        <s v="27-0"/>
        <s v="9-0"/>
        <s v="10-0"/>
        <s v="22-0"/>
        <s v="10-0, 22-0"/>
        <s v="1-0, 10-0, 22-0"/>
        <s v="1-0, 10-0"/>
        <s v="1-0, 22-0"/>
        <s v="15-0, 17-0"/>
        <s v="15-0, 17-0, 20-0"/>
        <s v="9-0, 15-0, 17-0, 20-0"/>
        <s v="26-0"/>
        <s v="30-0"/>
        <s v="25-0, 30-0"/>
        <s v="31-0"/>
        <s v="7-0"/>
        <s v="7-0, 31-0"/>
      </sharedItems>
    </cacheField>
    <cacheField name="ha" numFmtId="0">
      <sharedItems containsString="0" containsBlank="1" containsNumber="1" minValue="1.6" maxValue="65.739999999999995" count="21">
        <m/>
        <n v="38.29"/>
        <n v="36.700000000000003"/>
        <n v="27"/>
        <n v="1.6"/>
        <n v="3.83"/>
        <n v="15.2"/>
        <n v="14.85"/>
        <n v="30.05"/>
        <n v="57.05"/>
        <n v="42.2"/>
        <n v="41.85"/>
        <n v="10.96"/>
        <n v="14.46"/>
        <n v="18.29"/>
        <n v="1.9"/>
        <n v="29.04"/>
        <n v="65.739999999999995"/>
        <n v="3.79"/>
        <n v="5.46"/>
        <n v="9.25"/>
      </sharedItems>
    </cacheField>
    <cacheField name="Afgrøde" numFmtId="0">
      <sharedItems count="15">
        <s v="           "/>
        <s v="Eft.afg. a kl.gr., dæks.h.aug"/>
        <s v="Helsæd, vinterhvede"/>
        <s v="Kl.græs, s. u.50%kl. udl.eft.å"/>
        <s v="Miljøgræs, MVJ-ordning, 0N"/>
        <s v="Pl. e.afg græs(nedm.)udl.forår"/>
        <s v="Rent græs, s"/>
        <s v="Rent græs, s, Kl.græs, s. u.50%kl. udl.eft.å"/>
        <s v="Silomajs"/>
        <s v="Vedv. græs, a"/>
        <s v="Vinterhvede"/>
        <s v="Vinterhvede, Helsæd, vinterhvede"/>
        <s v="Vårbyg"/>
        <s v="Vårbyg m. kløverudlæg"/>
        <s v="Vårbyg, Vårbyg m. kløverudlæg"/>
      </sharedItems>
    </cacheField>
    <cacheField name="afgrødetype" numFmtId="0">
      <sharedItems containsBlank="1" count="5">
        <m/>
        <s v="salgsafgrøder"/>
        <s v="græs, grovfoder"/>
        <s v="andet grovfoder"/>
        <s v="majs, grovfoder"/>
      </sharedItems>
    </cacheField>
    <cacheField name="Produkter" numFmtId="0">
      <sharedItems count="77">
        <s v="           "/>
        <s v="Afgræsning, netto 800,000 fe/ha"/>
        <s v="Sortsblanding 185,000 kg      /ha, Radsåning_E 1,000 /ha"/>
        <s v="Boxer EC 1,500 l/ha, DFF 0,030 l/ha, Oxitril CM 0,120 l/ha"/>
        <s v="Sprøjtning_E 1,000 /ha"/>
        <s v="Atlantis OD 0,000 l/ha"/>
        <s v="NS 24- 7 (7,0 S) 310,000 kg/ha, Gødningsudbringning_E 1,000 /ha"/>
        <s v="Afgasset gylle 35,000 ton/ha"/>
        <s v="Afgasset gylle 30,000 ton/ha"/>
        <s v="Finsnitning, helsæd_M 1,000 /ha, Hjemkørsel_M 1,000 Time/ha, Indlægning i plansilo_M 0,500 Time/ha"/>
        <s v="Indlægning i plansilo_E 0,220 Time/ha"/>
        <s v="Hjemkørsel_E 0,250 Time/ha"/>
        <s v="Slæt, juli 8000,000 fe/ha"/>
        <s v="Radsåning_E 1,000 /ha"/>
        <s v="NS 24- 7 (7,0 S) 500,000 kg/ha, Gødningsudbringning_E 1,000 /ha"/>
        <s v="Slæt, maj 3000,000 fe/ha"/>
        <s v="Hjemkørsel_E 0,139 Time/ha"/>
        <s v="Afgasset gylle 28,000 ton/ha"/>
        <s v="NS 24- 7 (7,0 S) 200,000 kg/ha"/>
        <s v="Vanding_E 35,000 mm/ha"/>
        <s v="Slæt, juli 1800,000 fe/ha"/>
        <s v="Hjemkørsel_E 0,100 Time/ha"/>
        <s v="Slæt, august 1500,000 fe/ha"/>
        <s v="Slæt, oktober 1200,000 fe/ha"/>
        <s v="Tilskud MVJ 1,000 /ha"/>
        <s v="Foxtrot 7,000 kg      /ha, Radsåning_E 1,000 /ha"/>
        <s v="Grønmasse 5,000 ton/ha"/>
        <s v="Afgasset gylle 27,000 ton/ha"/>
        <s v="Afgasset gylle 31,000 ton/ha"/>
        <s v="NS 24- 7 (7,0 S) 250,000 kg/ha, Gødningsudbringning_E 1,000 /ha"/>
        <s v="NS 24- 7 (7,0 S) 200,000 kg/ha, Gødningsudbringning_E 1,000 /ha"/>
        <s v="NS 24- 7 (7,0 S) 375,000 kg/ha, Gødningsudbringning_E 1,000 /ha"/>
        <s v="Spredning/sammenrivning_E 1,000 /ha"/>
        <s v="Hjemkørsel_E 0,135 Time/ha"/>
        <s v="Hjemkørsel_E 0,164 Time/ha"/>
        <s v="NS 24- 7 (7,0 S) 375,000 kg/ha"/>
        <s v="Slæt, juli 2000,000 fe/ha"/>
        <s v="NS 24- 7 (7,0 S) 100,000 kg/ha"/>
        <s v="Slæt, august 2000,000 fe/ha"/>
        <s v="Afgasset gylle 16,000 ton/ha, Gødningsudbringning_E 1,000 /ha"/>
        <s v="Slæt, oktober 1500,000 fe/ha"/>
        <s v="Skårlægning, slåmaskine_M 1,000 /ha"/>
        <s v="Finsnitning, græs_M 1,000 /ha, Hjemkørsel_M 0,500 Time/ha, Indlægning i plansilo_M 0,250 Time/ha"/>
        <s v="Skårlægning, skiveslåmaskine_M 1,000 /ha"/>
        <s v="Finsnitning, græs_M 1,000 /ha, Indlægning i plansilo_E 0,250 Time/ha, Hjemkørsel_M 0,500 Time/ha"/>
        <s v="Afgasset gylle 20,000 ton/ha"/>
        <s v="Afgasset gylle 45,000 ton/ha"/>
        <s v="NPS 20-10- 0- 8 B (m.bl.) DLG 100,000 kg/ha, Gødningsudbringning_E 1,000 /ha"/>
        <s v="Afgasset gylle 49,608 ton/ha"/>
        <s v="Tromling_E 1,000 /ha"/>
        <s v="Fighter 480 0,400 l/ha, Callisto 0,400 l/ha, Cyperb 100 0,000 l/ha"/>
        <s v="Majssåning_M 1,000 /ha, Beethoven 2,000 Pakn    /ha"/>
        <s v="Majssåning_M 1,000 /ha"/>
        <s v="MaisTer 30,000 g/ha, MaisOil 0,400 l/ha, Callisto 0,400 l/ha, Starane 180 s 0,250 l/ha"/>
        <s v="Callisto 0,400 l/ha, MaisTer 40,000 g/ha, MaisOil 0,530 l/ha"/>
        <s v="Nettoavl 10000,000 fe/ha"/>
        <s v="Afgræsning, maj 1200,000 fe/ha"/>
        <s v="Afgræsning, juni 900,000 fe/ha"/>
        <s v="Afgræsning, september 900,000 fe/ha"/>
        <s v="Kerne 75,000 hkg/ha"/>
        <s v="Halm 3,000 ton/ha"/>
        <s v="Opera 0,200 l/ha, Opus 0,150 l/ha, Proline EC 250 0,200 l/ha"/>
        <s v="Mangansulfat, 27% 2,500 kg/ha, Sprede-klæbemiddel 0,100 l/ha"/>
        <s v="Ally ST 0,250 Tab./ha, Sprede-klæbemiddel 0,100 l/ha"/>
        <s v="Hussar OD 0,000 l/ha"/>
        <s v="Monitor 0,000 g/ha"/>
        <s v="Flexity 0,000 l/ha"/>
        <s v="NS 24- 7 (7,0 S) 530,000 kg/ha, Gødningsudbringning_E 1,000 /ha"/>
        <s v="Kerne 50,000 hkg/ha"/>
        <s v="Halm 2,500 ton/ha"/>
        <s v="NS 24- 7 (7,0 S) 160,000 kg/ha, Gødningsudbringning_E 1,000 /ha"/>
        <s v="Mejetærskning, maskinstation_M 1,000 /ha"/>
        <s v="Halm 2,000 ton/ha"/>
        <s v="Hjemkørsel_E 1,000 Time/ha"/>
        <s v="Pløjning_E 1,000 /ha"/>
        <s v="Fighter 480 0,750 l/ha, Sun-Oil 33 E 0,500 l/ha"/>
        <s v="Amistar 0,100 l/ha, Folicur EC 250 0,200 l/ha"/>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Jannik Toft Andersen" refreshedDate="40473.430314930556" createdVersion="3" refreshedVersion="3" minRefreshableVersion="3" recordCount="147">
  <cacheSource type="worksheet">
    <worksheetSource ref="A1:S148" sheet="Data" r:id="rId2"/>
  </cacheSource>
  <cacheFields count="19">
    <cacheField name="Dato" numFmtId="165">
      <sharedItems containsSemiMixedTypes="0" containsNonDate="0" containsDate="1" containsString="0" minDate="2010-01-01T12:00:00" maxDate="2010-12-01T12:00:00" count="65">
        <d v="2010-03-19T12:00:00"/>
        <d v="2010-05-03T12:00:00"/>
        <d v="2010-05-04T12:00:00"/>
        <d v="2010-05-05T12:00:00"/>
        <d v="2010-05-11T12:00:00"/>
        <d v="2010-05-12T12:00:00"/>
        <d v="2010-05-14T12:00:00"/>
        <d v="2010-05-19T12:00:00"/>
        <d v="2010-05-31T12:00:00"/>
        <d v="2010-06-01T12:00:00"/>
        <d v="2010-06-05T12:00:00"/>
        <d v="2010-06-08T12:00:00"/>
        <d v="2010-06-29T12:00:00"/>
        <d v="2010-07-02T12:00:00"/>
        <d v="2010-07-13T12:00:00"/>
        <d v="2010-07-24T12:00:00"/>
        <d v="2010-07-29T12:00:00"/>
        <d v="2010-07-31T12:00:00"/>
        <d v="2010-08-03T12:00:00"/>
        <d v="2010-08-10T12:00:00"/>
        <d v="2010-08-11T12:00:00"/>
        <d v="2010-08-13T12:00:00"/>
        <d v="2010-08-18T12:00:00"/>
        <d v="2010-08-20T12:00:00"/>
        <d v="2010-10-20T12:00:00"/>
        <d v="2010-01-01T12:00:00"/>
        <d v="2010-03-30T12:00:00"/>
        <d v="2010-04-15T12:00:00"/>
        <d v="2010-04-18T12:00:00"/>
        <d v="2010-05-02T12:00:00"/>
        <d v="2010-07-23T12:00:00"/>
        <d v="2010-08-21T12:00:00"/>
        <d v="2010-04-13T12:00:00"/>
        <d v="2010-06-06T12:00:00"/>
        <d v="2010-06-09T12:00:00"/>
        <d v="2010-06-26T12:00:00"/>
        <d v="2010-07-07T12:00:00"/>
        <d v="2010-07-21T12:00:00"/>
        <d v="2010-10-15T12:00:00"/>
        <d v="2010-10-01T12:00:00"/>
        <d v="2010-12-01T12:00:00"/>
        <d v="2010-04-05T12:00:00"/>
        <d v="2010-11-01T12:00:00"/>
        <d v="2010-03-25T12:00:00"/>
        <d v="2010-04-01T12:00:00"/>
        <d v="2010-05-01T12:00:00"/>
        <d v="2010-05-25T12:00:00"/>
        <d v="2010-07-01T12:00:00"/>
        <d v="2010-07-15T12:00:00"/>
        <d v="2010-08-09T12:00:00"/>
        <d v="2010-04-02T12:00:00"/>
        <d v="2010-04-08T12:00:00"/>
        <d v="2010-04-10T12:00:00"/>
        <d v="2010-04-23T12:00:00"/>
        <d v="2010-05-10T12:00:00"/>
        <d v="2010-05-15T12:00:00"/>
        <d v="2010-05-30T12:00:00"/>
        <d v="2010-06-15T12:00:00"/>
        <d v="2010-06-25T12:00:00"/>
        <d v="2010-09-30T12:00:00"/>
        <d v="2010-04-25T12:00:00"/>
        <d v="2010-04-06T12:00:00"/>
        <d v="2010-04-11T12:00:00"/>
        <d v="2010-04-12T12:00:00"/>
        <d v="2010-08-16T12:00:00"/>
      </sharedItems>
    </cacheField>
    <cacheField name="Reg" numFmtId="164">
      <sharedItems containsSemiMixedTypes="0" containsString="0" containsNumber="1" containsInteger="1" minValue="0" maxValue="1"/>
    </cacheField>
    <cacheField name="Opgave" numFmtId="0">
      <sharedItems count="17">
        <s v="Plantebeskyttelse"/>
        <s v="           "/>
        <s v="Vedligeholdelse"/>
        <s v="Høst"/>
        <s v="Såning"/>
        <s v="Pløjning"/>
        <s v="Handelsgødning"/>
        <s v="Organisk gødning"/>
        <s v="Indlægning i silo"/>
        <s v="Frakørsel"/>
        <s v="Tromling"/>
        <s v="Flytning, vandingsmaskiner"/>
        <s v="Andet arbejde"/>
        <s v="Sammenrivning"/>
        <s v="Jordbehandling"/>
        <s v="Frakørsel, korn"/>
        <s v="Tærskning"/>
      </sharedItems>
    </cacheField>
    <cacheField name="Udførende" numFmtId="0">
      <sharedItems/>
    </cacheField>
    <cacheField name="Traktor" numFmtId="0">
      <sharedItems/>
    </cacheField>
    <cacheField name="Maskine" numFmtId="0">
      <sharedItems/>
    </cacheField>
    <cacheField name="Starttid" numFmtId="0">
      <sharedItems containsNonDate="0" containsString="0" containsBlank="1"/>
    </cacheField>
    <cacheField name="Sluttid" numFmtId="0">
      <sharedItems containsNonDate="0" containsString="0" containsBlank="1"/>
    </cacheField>
    <cacheField name="Pause min" numFmtId="0">
      <sharedItems containsNonDate="0" containsString="0" containsBlank="1"/>
    </cacheField>
    <cacheField name="Timer" numFmtId="0">
      <sharedItems containsString="0" containsBlank="1" containsNumber="1" minValue="0.15" maxValue="32" count="37">
        <n v="5"/>
        <m/>
        <n v="0.5"/>
        <n v="0.8"/>
        <n v="2"/>
        <n v="10"/>
        <n v="0.15"/>
        <n v="0.25"/>
        <n v="3"/>
        <n v="2.15"/>
        <n v="1"/>
        <n v="1.5"/>
        <n v="30"/>
        <n v="32"/>
        <n v="13"/>
        <n v="4"/>
        <n v="8"/>
        <n v="9"/>
        <n v="25"/>
        <n v="27"/>
        <n v="5.5"/>
        <n v="11"/>
        <n v="7"/>
        <n v="2.5"/>
        <n v="20"/>
        <n v="7.5"/>
        <n v="9.5"/>
        <n v="8.25"/>
        <n v="2.25"/>
        <n v="9.75"/>
        <n v="17"/>
        <n v="3.5"/>
        <n v="11.5"/>
        <n v="12"/>
        <n v="28"/>
        <n v="12.5"/>
        <n v="21"/>
      </sharedItems>
    </cacheField>
    <cacheField name="Takst" numFmtId="0">
      <sharedItems/>
    </cacheField>
    <cacheField name="Maskin station" numFmtId="0">
      <sharedItems containsString="0" containsBlank="1" containsNumber="1" containsInteger="1" minValue="0" maxValue="1"/>
    </cacheField>
    <cacheField name="Marker" numFmtId="0">
      <sharedItems/>
    </cacheField>
    <cacheField name="ha" numFmtId="0">
      <sharedItems containsString="0" containsBlank="1" containsNumber="1" minValue="1.6" maxValue="65.739999999999995"/>
    </cacheField>
    <cacheField name="Afgrøde" numFmtId="0">
      <sharedItems/>
    </cacheField>
    <cacheField name="afgrødetype" numFmtId="0">
      <sharedItems containsBlank="1" count="5">
        <m/>
        <s v="salgsafgrøder"/>
        <s v="græs, grovfoder"/>
        <s v="andet grovfoder"/>
        <s v="majs, grovfoder"/>
      </sharedItems>
    </cacheField>
    <cacheField name="Produkter" numFmtId="0">
      <sharedItems/>
    </cacheField>
    <cacheField name="Ansvarlig" numFmtId="0">
      <sharedItems/>
    </cacheField>
    <cacheField name="Bemærkning"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7">
  <r>
    <x v="0"/>
    <n v="1"/>
    <x v="0"/>
    <s v="           "/>
    <x v="0"/>
    <x v="0"/>
    <m/>
    <m/>
    <m/>
    <x v="0"/>
    <s v="           "/>
    <n v="0"/>
    <x v="0"/>
    <x v="0"/>
    <x v="0"/>
    <x v="0"/>
    <x v="0"/>
  </r>
  <r>
    <x v="1"/>
    <n v="1"/>
    <x v="1"/>
    <s v="           "/>
    <x v="0"/>
    <x v="0"/>
    <m/>
    <m/>
    <m/>
    <x v="1"/>
    <s v="           "/>
    <n v="0"/>
    <x v="0"/>
    <x v="0"/>
    <x v="0"/>
    <x v="0"/>
    <x v="0"/>
  </r>
  <r>
    <x v="1"/>
    <n v="1"/>
    <x v="1"/>
    <s v="           "/>
    <x v="1"/>
    <x v="1"/>
    <m/>
    <m/>
    <m/>
    <x v="1"/>
    <s v="           "/>
    <n v="0"/>
    <x v="0"/>
    <x v="0"/>
    <x v="0"/>
    <x v="0"/>
    <x v="0"/>
  </r>
  <r>
    <x v="1"/>
    <n v="1"/>
    <x v="2"/>
    <s v="           "/>
    <x v="2"/>
    <x v="2"/>
    <m/>
    <m/>
    <m/>
    <x v="2"/>
    <s v="           "/>
    <n v="0"/>
    <x v="0"/>
    <x v="0"/>
    <x v="0"/>
    <x v="0"/>
    <x v="0"/>
  </r>
  <r>
    <x v="2"/>
    <n v="1"/>
    <x v="2"/>
    <s v="           "/>
    <x v="2"/>
    <x v="2"/>
    <m/>
    <m/>
    <m/>
    <x v="3"/>
    <s v="           "/>
    <n v="0"/>
    <x v="0"/>
    <x v="0"/>
    <x v="0"/>
    <x v="0"/>
    <x v="0"/>
  </r>
  <r>
    <x v="3"/>
    <n v="1"/>
    <x v="2"/>
    <s v="           "/>
    <x v="2"/>
    <x v="2"/>
    <m/>
    <m/>
    <m/>
    <x v="2"/>
    <s v="           "/>
    <n v="0"/>
    <x v="0"/>
    <x v="0"/>
    <x v="0"/>
    <x v="0"/>
    <x v="0"/>
  </r>
  <r>
    <x v="4"/>
    <n v="1"/>
    <x v="2"/>
    <s v="           "/>
    <x v="2"/>
    <x v="0"/>
    <m/>
    <m/>
    <m/>
    <x v="4"/>
    <s v="           "/>
    <n v="0"/>
    <x v="0"/>
    <x v="0"/>
    <x v="0"/>
    <x v="0"/>
    <x v="0"/>
  </r>
  <r>
    <x v="5"/>
    <n v="0"/>
    <x v="1"/>
    <s v="           "/>
    <x v="1"/>
    <x v="3"/>
    <m/>
    <m/>
    <m/>
    <x v="5"/>
    <s v="           "/>
    <n v="1"/>
    <x v="0"/>
    <x v="0"/>
    <x v="0"/>
    <x v="0"/>
    <x v="0"/>
  </r>
  <r>
    <x v="6"/>
    <n v="1"/>
    <x v="2"/>
    <s v="           "/>
    <x v="2"/>
    <x v="0"/>
    <m/>
    <m/>
    <m/>
    <x v="6"/>
    <s v="           "/>
    <n v="0"/>
    <x v="0"/>
    <x v="0"/>
    <x v="0"/>
    <x v="0"/>
    <x v="0"/>
  </r>
  <r>
    <x v="7"/>
    <n v="1"/>
    <x v="2"/>
    <s v="           "/>
    <x v="2"/>
    <x v="3"/>
    <m/>
    <m/>
    <m/>
    <x v="4"/>
    <s v="           "/>
    <n v="0"/>
    <x v="0"/>
    <x v="0"/>
    <x v="0"/>
    <x v="0"/>
    <x v="0"/>
  </r>
  <r>
    <x v="7"/>
    <n v="1"/>
    <x v="2"/>
    <s v="           "/>
    <x v="2"/>
    <x v="4"/>
    <m/>
    <m/>
    <m/>
    <x v="7"/>
    <s v="           "/>
    <n v="0"/>
    <x v="0"/>
    <x v="0"/>
    <x v="0"/>
    <x v="0"/>
    <x v="0"/>
  </r>
  <r>
    <x v="8"/>
    <n v="1"/>
    <x v="2"/>
    <s v="           "/>
    <x v="2"/>
    <x v="5"/>
    <m/>
    <m/>
    <m/>
    <x v="8"/>
    <s v="           "/>
    <n v="0"/>
    <x v="0"/>
    <x v="0"/>
    <x v="0"/>
    <x v="0"/>
    <x v="0"/>
  </r>
  <r>
    <x v="9"/>
    <n v="1"/>
    <x v="2"/>
    <s v="           "/>
    <x v="2"/>
    <x v="0"/>
    <m/>
    <m/>
    <m/>
    <x v="2"/>
    <s v="           "/>
    <n v="0"/>
    <x v="0"/>
    <x v="0"/>
    <x v="0"/>
    <x v="0"/>
    <x v="0"/>
  </r>
  <r>
    <x v="10"/>
    <n v="1"/>
    <x v="2"/>
    <s v="           "/>
    <x v="2"/>
    <x v="5"/>
    <m/>
    <m/>
    <m/>
    <x v="7"/>
    <s v="           "/>
    <n v="0"/>
    <x v="0"/>
    <x v="0"/>
    <x v="0"/>
    <x v="0"/>
    <x v="0"/>
  </r>
  <r>
    <x v="11"/>
    <n v="1"/>
    <x v="2"/>
    <s v="           "/>
    <x v="2"/>
    <x v="0"/>
    <m/>
    <m/>
    <m/>
    <x v="7"/>
    <s v="           "/>
    <n v="0"/>
    <x v="0"/>
    <x v="0"/>
    <x v="0"/>
    <x v="0"/>
    <x v="0"/>
  </r>
  <r>
    <x v="12"/>
    <n v="0"/>
    <x v="1"/>
    <s v="           "/>
    <x v="0"/>
    <x v="0"/>
    <m/>
    <m/>
    <m/>
    <x v="1"/>
    <s v="           "/>
    <n v="0"/>
    <x v="0"/>
    <x v="0"/>
    <x v="0"/>
    <x v="0"/>
    <x v="0"/>
  </r>
  <r>
    <x v="12"/>
    <n v="1"/>
    <x v="2"/>
    <s v="           "/>
    <x v="1"/>
    <x v="6"/>
    <m/>
    <m/>
    <m/>
    <x v="9"/>
    <s v="           "/>
    <n v="0"/>
    <x v="0"/>
    <x v="0"/>
    <x v="0"/>
    <x v="0"/>
    <x v="0"/>
  </r>
  <r>
    <x v="13"/>
    <n v="1"/>
    <x v="2"/>
    <s v="           "/>
    <x v="2"/>
    <x v="5"/>
    <m/>
    <m/>
    <m/>
    <x v="3"/>
    <s v="           "/>
    <n v="0"/>
    <x v="0"/>
    <x v="0"/>
    <x v="0"/>
    <x v="0"/>
    <x v="0"/>
  </r>
  <r>
    <x v="14"/>
    <n v="1"/>
    <x v="2"/>
    <s v="           "/>
    <x v="2"/>
    <x v="5"/>
    <m/>
    <m/>
    <m/>
    <x v="2"/>
    <s v="           "/>
    <n v="0"/>
    <x v="0"/>
    <x v="0"/>
    <x v="0"/>
    <x v="0"/>
    <x v="0"/>
  </r>
  <r>
    <x v="14"/>
    <n v="1"/>
    <x v="2"/>
    <s v="           "/>
    <x v="1"/>
    <x v="0"/>
    <m/>
    <m/>
    <m/>
    <x v="7"/>
    <s v="           "/>
    <n v="0"/>
    <x v="0"/>
    <x v="0"/>
    <x v="0"/>
    <x v="0"/>
    <x v="0"/>
  </r>
  <r>
    <x v="15"/>
    <n v="1"/>
    <x v="2"/>
    <s v="           "/>
    <x v="2"/>
    <x v="5"/>
    <m/>
    <m/>
    <m/>
    <x v="2"/>
    <s v="           "/>
    <n v="0"/>
    <x v="0"/>
    <x v="0"/>
    <x v="0"/>
    <x v="0"/>
    <x v="0"/>
  </r>
  <r>
    <x v="16"/>
    <n v="1"/>
    <x v="2"/>
    <s v="           "/>
    <x v="1"/>
    <x v="0"/>
    <m/>
    <m/>
    <m/>
    <x v="10"/>
    <s v="           "/>
    <n v="0"/>
    <x v="0"/>
    <x v="0"/>
    <x v="0"/>
    <x v="0"/>
    <x v="0"/>
  </r>
  <r>
    <x v="17"/>
    <n v="1"/>
    <x v="2"/>
    <s v="           "/>
    <x v="1"/>
    <x v="0"/>
    <m/>
    <m/>
    <m/>
    <x v="7"/>
    <s v="           "/>
    <n v="0"/>
    <x v="0"/>
    <x v="0"/>
    <x v="0"/>
    <x v="0"/>
    <x v="0"/>
  </r>
  <r>
    <x v="18"/>
    <n v="1"/>
    <x v="2"/>
    <s v="           "/>
    <x v="2"/>
    <x v="0"/>
    <m/>
    <m/>
    <m/>
    <x v="7"/>
    <s v="           "/>
    <n v="0"/>
    <x v="0"/>
    <x v="0"/>
    <x v="0"/>
    <x v="0"/>
    <x v="0"/>
  </r>
  <r>
    <x v="19"/>
    <n v="1"/>
    <x v="2"/>
    <s v="           "/>
    <x v="2"/>
    <x v="0"/>
    <m/>
    <m/>
    <m/>
    <x v="10"/>
    <s v="           "/>
    <n v="0"/>
    <x v="0"/>
    <x v="0"/>
    <x v="0"/>
    <x v="0"/>
    <x v="0"/>
  </r>
  <r>
    <x v="20"/>
    <n v="1"/>
    <x v="2"/>
    <s v="           "/>
    <x v="2"/>
    <x v="5"/>
    <m/>
    <m/>
    <m/>
    <x v="2"/>
    <s v="           "/>
    <n v="0"/>
    <x v="0"/>
    <x v="0"/>
    <x v="0"/>
    <x v="0"/>
    <x v="0"/>
  </r>
  <r>
    <x v="21"/>
    <n v="1"/>
    <x v="2"/>
    <s v="           "/>
    <x v="1"/>
    <x v="0"/>
    <m/>
    <m/>
    <m/>
    <x v="7"/>
    <s v="           "/>
    <n v="0"/>
    <x v="0"/>
    <x v="0"/>
    <x v="0"/>
    <x v="0"/>
    <x v="0"/>
  </r>
  <r>
    <x v="21"/>
    <n v="1"/>
    <x v="2"/>
    <s v="           "/>
    <x v="2"/>
    <x v="4"/>
    <m/>
    <m/>
    <m/>
    <x v="2"/>
    <s v="           "/>
    <n v="0"/>
    <x v="0"/>
    <x v="0"/>
    <x v="0"/>
    <x v="0"/>
    <x v="0"/>
  </r>
  <r>
    <x v="22"/>
    <n v="0"/>
    <x v="1"/>
    <s v="           "/>
    <x v="0"/>
    <x v="0"/>
    <m/>
    <m/>
    <m/>
    <x v="1"/>
    <s v="           "/>
    <n v="0"/>
    <x v="0"/>
    <x v="0"/>
    <x v="0"/>
    <x v="0"/>
    <x v="0"/>
  </r>
  <r>
    <x v="22"/>
    <n v="1"/>
    <x v="2"/>
    <s v="           "/>
    <x v="2"/>
    <x v="3"/>
    <m/>
    <m/>
    <m/>
    <x v="3"/>
    <s v="           "/>
    <n v="0"/>
    <x v="0"/>
    <x v="0"/>
    <x v="0"/>
    <x v="0"/>
    <x v="0"/>
  </r>
  <r>
    <x v="23"/>
    <n v="1"/>
    <x v="2"/>
    <s v="           "/>
    <x v="0"/>
    <x v="4"/>
    <m/>
    <m/>
    <m/>
    <x v="11"/>
    <s v="           "/>
    <n v="0"/>
    <x v="0"/>
    <x v="0"/>
    <x v="0"/>
    <x v="0"/>
    <x v="0"/>
  </r>
  <r>
    <x v="23"/>
    <n v="1"/>
    <x v="2"/>
    <s v="           "/>
    <x v="2"/>
    <x v="0"/>
    <m/>
    <m/>
    <m/>
    <x v="7"/>
    <s v="           "/>
    <n v="0"/>
    <x v="0"/>
    <x v="0"/>
    <x v="0"/>
    <x v="0"/>
    <x v="0"/>
  </r>
  <r>
    <x v="23"/>
    <n v="1"/>
    <x v="2"/>
    <s v="           "/>
    <x v="1"/>
    <x v="0"/>
    <m/>
    <m/>
    <m/>
    <x v="7"/>
    <s v="           "/>
    <n v="0"/>
    <x v="0"/>
    <x v="0"/>
    <x v="0"/>
    <x v="0"/>
    <x v="0"/>
  </r>
  <r>
    <x v="24"/>
    <n v="0"/>
    <x v="3"/>
    <s v="           "/>
    <x v="0"/>
    <x v="0"/>
    <m/>
    <m/>
    <m/>
    <x v="1"/>
    <s v="           "/>
    <m/>
    <x v="1"/>
    <x v="1"/>
    <x v="1"/>
    <x v="0"/>
    <x v="1"/>
  </r>
  <r>
    <x v="25"/>
    <n v="1"/>
    <x v="4"/>
    <s v="           "/>
    <x v="0"/>
    <x v="0"/>
    <m/>
    <m/>
    <m/>
    <x v="1"/>
    <s v="           "/>
    <m/>
    <x v="2"/>
    <x v="2"/>
    <x v="2"/>
    <x v="1"/>
    <x v="2"/>
  </r>
  <r>
    <x v="25"/>
    <n v="1"/>
    <x v="0"/>
    <s v="           "/>
    <x v="0"/>
    <x v="0"/>
    <m/>
    <m/>
    <m/>
    <x v="1"/>
    <s v="           "/>
    <m/>
    <x v="2"/>
    <x v="2"/>
    <x v="2"/>
    <x v="1"/>
    <x v="3"/>
  </r>
  <r>
    <x v="25"/>
    <n v="1"/>
    <x v="4"/>
    <s v="           "/>
    <x v="2"/>
    <x v="1"/>
    <m/>
    <m/>
    <m/>
    <x v="12"/>
    <s v="           "/>
    <m/>
    <x v="2"/>
    <x v="2"/>
    <x v="2"/>
    <x v="1"/>
    <x v="0"/>
  </r>
  <r>
    <x v="25"/>
    <n v="1"/>
    <x v="0"/>
    <s v="           "/>
    <x v="0"/>
    <x v="0"/>
    <m/>
    <m/>
    <m/>
    <x v="1"/>
    <s v="           "/>
    <m/>
    <x v="2"/>
    <x v="2"/>
    <x v="2"/>
    <x v="1"/>
    <x v="4"/>
  </r>
  <r>
    <x v="25"/>
    <n v="1"/>
    <x v="5"/>
    <s v="           "/>
    <x v="1"/>
    <x v="3"/>
    <m/>
    <m/>
    <m/>
    <x v="13"/>
    <s v="           "/>
    <m/>
    <x v="2"/>
    <x v="2"/>
    <x v="2"/>
    <x v="1"/>
    <x v="0"/>
  </r>
  <r>
    <x v="26"/>
    <n v="1"/>
    <x v="0"/>
    <s v="           "/>
    <x v="0"/>
    <x v="0"/>
    <m/>
    <m/>
    <m/>
    <x v="1"/>
    <s v="           "/>
    <m/>
    <x v="2"/>
    <x v="2"/>
    <x v="2"/>
    <x v="1"/>
    <x v="5"/>
  </r>
  <r>
    <x v="27"/>
    <n v="1"/>
    <x v="6"/>
    <s v="           "/>
    <x v="1"/>
    <x v="7"/>
    <m/>
    <m/>
    <m/>
    <x v="0"/>
    <s v="           "/>
    <m/>
    <x v="2"/>
    <x v="2"/>
    <x v="2"/>
    <x v="1"/>
    <x v="6"/>
  </r>
  <r>
    <x v="28"/>
    <n v="1"/>
    <x v="4"/>
    <s v="           "/>
    <x v="2"/>
    <x v="1"/>
    <m/>
    <m/>
    <m/>
    <x v="14"/>
    <s v="           "/>
    <m/>
    <x v="2"/>
    <x v="2"/>
    <x v="2"/>
    <x v="1"/>
    <x v="0"/>
  </r>
  <r>
    <x v="29"/>
    <n v="1"/>
    <x v="7"/>
    <s v="           "/>
    <x v="2"/>
    <x v="0"/>
    <m/>
    <m/>
    <m/>
    <x v="15"/>
    <s v="           "/>
    <m/>
    <x v="2"/>
    <x v="2"/>
    <x v="2"/>
    <x v="1"/>
    <x v="7"/>
  </r>
  <r>
    <x v="9"/>
    <n v="1"/>
    <x v="7"/>
    <s v="           "/>
    <x v="2"/>
    <x v="0"/>
    <m/>
    <m/>
    <m/>
    <x v="15"/>
    <s v="           "/>
    <m/>
    <x v="2"/>
    <x v="2"/>
    <x v="2"/>
    <x v="1"/>
    <x v="8"/>
  </r>
  <r>
    <x v="30"/>
    <n v="1"/>
    <x v="1"/>
    <s v="           "/>
    <x v="0"/>
    <x v="0"/>
    <m/>
    <m/>
    <m/>
    <x v="1"/>
    <s v="           "/>
    <m/>
    <x v="2"/>
    <x v="2"/>
    <x v="2"/>
    <x v="1"/>
    <x v="9"/>
  </r>
  <r>
    <x v="30"/>
    <n v="1"/>
    <x v="8"/>
    <s v="           "/>
    <x v="1"/>
    <x v="0"/>
    <m/>
    <m/>
    <m/>
    <x v="16"/>
    <s v="           "/>
    <m/>
    <x v="2"/>
    <x v="2"/>
    <x v="2"/>
    <x v="1"/>
    <x v="10"/>
  </r>
  <r>
    <x v="30"/>
    <n v="1"/>
    <x v="1"/>
    <s v="           "/>
    <x v="0"/>
    <x v="0"/>
    <m/>
    <m/>
    <m/>
    <x v="1"/>
    <s v="           "/>
    <m/>
    <x v="2"/>
    <x v="2"/>
    <x v="2"/>
    <x v="1"/>
    <x v="11"/>
  </r>
  <r>
    <x v="30"/>
    <n v="1"/>
    <x v="9"/>
    <s v="           "/>
    <x v="2"/>
    <x v="4"/>
    <m/>
    <m/>
    <m/>
    <x v="17"/>
    <s v="           "/>
    <m/>
    <x v="2"/>
    <x v="2"/>
    <x v="2"/>
    <x v="1"/>
    <x v="12"/>
  </r>
  <r>
    <x v="23"/>
    <n v="0"/>
    <x v="3"/>
    <s v="           "/>
    <x v="0"/>
    <x v="0"/>
    <m/>
    <m/>
    <m/>
    <x v="1"/>
    <s v="           "/>
    <m/>
    <x v="2"/>
    <x v="2"/>
    <x v="2"/>
    <x v="1"/>
    <x v="0"/>
  </r>
  <r>
    <x v="31"/>
    <n v="0"/>
    <x v="3"/>
    <s v="           "/>
    <x v="0"/>
    <x v="0"/>
    <m/>
    <m/>
    <m/>
    <x v="1"/>
    <s v="           "/>
    <m/>
    <x v="2"/>
    <x v="2"/>
    <x v="2"/>
    <x v="1"/>
    <x v="0"/>
  </r>
  <r>
    <x v="25"/>
    <n v="1"/>
    <x v="4"/>
    <s v="           "/>
    <x v="2"/>
    <x v="1"/>
    <m/>
    <m/>
    <m/>
    <x v="18"/>
    <s v="           "/>
    <m/>
    <x v="3"/>
    <x v="3"/>
    <x v="3"/>
    <x v="2"/>
    <x v="13"/>
  </r>
  <r>
    <x v="25"/>
    <n v="1"/>
    <x v="5"/>
    <s v="           "/>
    <x v="2"/>
    <x v="3"/>
    <m/>
    <m/>
    <m/>
    <x v="19"/>
    <s v="           "/>
    <m/>
    <x v="3"/>
    <x v="3"/>
    <x v="3"/>
    <x v="2"/>
    <x v="0"/>
  </r>
  <r>
    <x v="26"/>
    <n v="1"/>
    <x v="6"/>
    <s v="           "/>
    <x v="2"/>
    <x v="7"/>
    <m/>
    <m/>
    <m/>
    <x v="1"/>
    <s v="           "/>
    <m/>
    <x v="3"/>
    <x v="3"/>
    <x v="3"/>
    <x v="2"/>
    <x v="14"/>
  </r>
  <r>
    <x v="32"/>
    <n v="1"/>
    <x v="10"/>
    <s v="           "/>
    <x v="2"/>
    <x v="8"/>
    <m/>
    <m/>
    <m/>
    <x v="20"/>
    <s v="           "/>
    <m/>
    <x v="3"/>
    <x v="3"/>
    <x v="3"/>
    <x v="2"/>
    <x v="0"/>
  </r>
  <r>
    <x v="33"/>
    <n v="1"/>
    <x v="3"/>
    <s v="           "/>
    <x v="0"/>
    <x v="0"/>
    <m/>
    <m/>
    <m/>
    <x v="1"/>
    <s v="           "/>
    <m/>
    <x v="3"/>
    <x v="3"/>
    <x v="3"/>
    <x v="2"/>
    <x v="15"/>
  </r>
  <r>
    <x v="33"/>
    <n v="1"/>
    <x v="1"/>
    <s v="           "/>
    <x v="0"/>
    <x v="0"/>
    <m/>
    <m/>
    <m/>
    <x v="1"/>
    <s v="           "/>
    <m/>
    <x v="3"/>
    <x v="3"/>
    <x v="3"/>
    <x v="2"/>
    <x v="16"/>
  </r>
  <r>
    <x v="11"/>
    <n v="1"/>
    <x v="7"/>
    <s v="           "/>
    <x v="2"/>
    <x v="0"/>
    <m/>
    <m/>
    <m/>
    <x v="21"/>
    <s v="           "/>
    <m/>
    <x v="3"/>
    <x v="3"/>
    <x v="3"/>
    <x v="2"/>
    <x v="17"/>
  </r>
  <r>
    <x v="34"/>
    <n v="1"/>
    <x v="6"/>
    <s v="           "/>
    <x v="0"/>
    <x v="0"/>
    <m/>
    <m/>
    <m/>
    <x v="1"/>
    <s v="           "/>
    <m/>
    <x v="3"/>
    <x v="3"/>
    <x v="3"/>
    <x v="2"/>
    <x v="18"/>
  </r>
  <r>
    <x v="35"/>
    <n v="1"/>
    <x v="11"/>
    <s v="           "/>
    <x v="1"/>
    <x v="6"/>
    <m/>
    <m/>
    <m/>
    <x v="22"/>
    <s v="           "/>
    <m/>
    <x v="3"/>
    <x v="3"/>
    <x v="3"/>
    <x v="2"/>
    <x v="19"/>
  </r>
  <r>
    <x v="13"/>
    <n v="1"/>
    <x v="3"/>
    <s v="           "/>
    <x v="0"/>
    <x v="0"/>
    <m/>
    <m/>
    <m/>
    <x v="1"/>
    <s v="           "/>
    <m/>
    <x v="3"/>
    <x v="3"/>
    <x v="3"/>
    <x v="2"/>
    <x v="20"/>
  </r>
  <r>
    <x v="36"/>
    <n v="1"/>
    <x v="11"/>
    <s v="           "/>
    <x v="1"/>
    <x v="6"/>
    <m/>
    <m/>
    <m/>
    <x v="22"/>
    <s v="           "/>
    <m/>
    <x v="3"/>
    <x v="3"/>
    <x v="3"/>
    <x v="2"/>
    <x v="19"/>
  </r>
  <r>
    <x v="37"/>
    <n v="1"/>
    <x v="11"/>
    <s v="           "/>
    <x v="1"/>
    <x v="6"/>
    <m/>
    <m/>
    <m/>
    <x v="22"/>
    <s v="           "/>
    <m/>
    <x v="3"/>
    <x v="3"/>
    <x v="3"/>
    <x v="2"/>
    <x v="19"/>
  </r>
  <r>
    <x v="19"/>
    <n v="1"/>
    <x v="8"/>
    <s v="           "/>
    <x v="1"/>
    <x v="4"/>
    <m/>
    <m/>
    <m/>
    <x v="23"/>
    <s v="           "/>
    <m/>
    <x v="3"/>
    <x v="3"/>
    <x v="3"/>
    <x v="2"/>
    <x v="21"/>
  </r>
  <r>
    <x v="19"/>
    <n v="1"/>
    <x v="3"/>
    <s v="           "/>
    <x v="0"/>
    <x v="0"/>
    <m/>
    <m/>
    <m/>
    <x v="1"/>
    <s v="           "/>
    <m/>
    <x v="3"/>
    <x v="3"/>
    <x v="3"/>
    <x v="2"/>
    <x v="22"/>
  </r>
  <r>
    <x v="38"/>
    <n v="0"/>
    <x v="3"/>
    <s v="           "/>
    <x v="0"/>
    <x v="0"/>
    <m/>
    <m/>
    <m/>
    <x v="1"/>
    <s v="           "/>
    <m/>
    <x v="3"/>
    <x v="3"/>
    <x v="3"/>
    <x v="2"/>
    <x v="23"/>
  </r>
  <r>
    <x v="39"/>
    <n v="0"/>
    <x v="3"/>
    <s v="           "/>
    <x v="0"/>
    <x v="0"/>
    <m/>
    <m/>
    <m/>
    <x v="1"/>
    <s v="           "/>
    <m/>
    <x v="4"/>
    <x v="4"/>
    <x v="4"/>
    <x v="3"/>
    <x v="1"/>
  </r>
  <r>
    <x v="40"/>
    <n v="0"/>
    <x v="3"/>
    <s v="           "/>
    <x v="0"/>
    <x v="0"/>
    <m/>
    <m/>
    <m/>
    <x v="1"/>
    <s v="           "/>
    <m/>
    <x v="4"/>
    <x v="4"/>
    <x v="4"/>
    <x v="3"/>
    <x v="24"/>
  </r>
  <r>
    <x v="41"/>
    <n v="0"/>
    <x v="4"/>
    <s v="           "/>
    <x v="0"/>
    <x v="0"/>
    <m/>
    <m/>
    <m/>
    <x v="1"/>
    <s v="           "/>
    <m/>
    <x v="5"/>
    <x v="5"/>
    <x v="5"/>
    <x v="2"/>
    <x v="25"/>
  </r>
  <r>
    <x v="42"/>
    <n v="0"/>
    <x v="3"/>
    <s v="           "/>
    <x v="0"/>
    <x v="0"/>
    <m/>
    <m/>
    <m/>
    <x v="1"/>
    <s v="           "/>
    <m/>
    <x v="5"/>
    <x v="5"/>
    <x v="5"/>
    <x v="2"/>
    <x v="26"/>
  </r>
  <r>
    <x v="0"/>
    <n v="1"/>
    <x v="7"/>
    <s v="           "/>
    <x v="2"/>
    <x v="2"/>
    <m/>
    <m/>
    <m/>
    <x v="24"/>
    <s v="           "/>
    <m/>
    <x v="6"/>
    <x v="6"/>
    <x v="6"/>
    <x v="2"/>
    <x v="27"/>
  </r>
  <r>
    <x v="43"/>
    <n v="1"/>
    <x v="7"/>
    <s v="           "/>
    <x v="2"/>
    <x v="2"/>
    <m/>
    <m/>
    <m/>
    <x v="25"/>
    <s v="           "/>
    <m/>
    <x v="7"/>
    <x v="7"/>
    <x v="6"/>
    <x v="2"/>
    <x v="28"/>
  </r>
  <r>
    <x v="26"/>
    <n v="1"/>
    <x v="6"/>
    <s v="           "/>
    <x v="2"/>
    <x v="7"/>
    <m/>
    <m/>
    <m/>
    <x v="4"/>
    <s v="           "/>
    <m/>
    <x v="7"/>
    <x v="7"/>
    <x v="6"/>
    <x v="2"/>
    <x v="29"/>
  </r>
  <r>
    <x v="44"/>
    <n v="1"/>
    <x v="6"/>
    <s v="           "/>
    <x v="3"/>
    <x v="7"/>
    <m/>
    <m/>
    <m/>
    <x v="20"/>
    <s v="           "/>
    <m/>
    <x v="6"/>
    <x v="6"/>
    <x v="6"/>
    <x v="2"/>
    <x v="30"/>
  </r>
  <r>
    <x v="32"/>
    <n v="1"/>
    <x v="10"/>
    <s v="           "/>
    <x v="2"/>
    <x v="8"/>
    <m/>
    <m/>
    <m/>
    <x v="23"/>
    <s v="           "/>
    <m/>
    <x v="6"/>
    <x v="6"/>
    <x v="6"/>
    <x v="2"/>
    <x v="0"/>
  </r>
  <r>
    <x v="45"/>
    <n v="1"/>
    <x v="6"/>
    <s v="           "/>
    <x v="0"/>
    <x v="0"/>
    <m/>
    <m/>
    <m/>
    <x v="1"/>
    <s v="           "/>
    <m/>
    <x v="8"/>
    <x v="8"/>
    <x v="6"/>
    <x v="2"/>
    <x v="31"/>
  </r>
  <r>
    <x v="1"/>
    <n v="1"/>
    <x v="10"/>
    <s v="           "/>
    <x v="2"/>
    <x v="2"/>
    <m/>
    <m/>
    <m/>
    <x v="23"/>
    <s v="           "/>
    <m/>
    <x v="7"/>
    <x v="7"/>
    <x v="6"/>
    <x v="2"/>
    <x v="0"/>
  </r>
  <r>
    <x v="46"/>
    <n v="0"/>
    <x v="3"/>
    <s v="           "/>
    <x v="0"/>
    <x v="0"/>
    <m/>
    <m/>
    <m/>
    <x v="1"/>
    <s v="           "/>
    <m/>
    <x v="8"/>
    <x v="8"/>
    <x v="6"/>
    <x v="2"/>
    <x v="15"/>
  </r>
  <r>
    <x v="10"/>
    <n v="1"/>
    <x v="3"/>
    <s v="           "/>
    <x v="0"/>
    <x v="0"/>
    <m/>
    <m/>
    <m/>
    <x v="1"/>
    <s v="           "/>
    <m/>
    <x v="7"/>
    <x v="7"/>
    <x v="6"/>
    <x v="2"/>
    <x v="32"/>
  </r>
  <r>
    <x v="33"/>
    <n v="1"/>
    <x v="3"/>
    <s v="           "/>
    <x v="0"/>
    <x v="0"/>
    <m/>
    <m/>
    <m/>
    <x v="1"/>
    <s v="           "/>
    <m/>
    <x v="7"/>
    <x v="7"/>
    <x v="6"/>
    <x v="2"/>
    <x v="33"/>
  </r>
  <r>
    <x v="33"/>
    <n v="1"/>
    <x v="3"/>
    <s v="           "/>
    <x v="0"/>
    <x v="0"/>
    <m/>
    <m/>
    <m/>
    <x v="1"/>
    <s v="           "/>
    <m/>
    <x v="6"/>
    <x v="6"/>
    <x v="6"/>
    <x v="2"/>
    <x v="34"/>
  </r>
  <r>
    <x v="34"/>
    <n v="1"/>
    <x v="6"/>
    <s v="           "/>
    <x v="0"/>
    <x v="0"/>
    <m/>
    <m/>
    <m/>
    <x v="1"/>
    <s v="           "/>
    <m/>
    <x v="7"/>
    <x v="7"/>
    <x v="6"/>
    <x v="2"/>
    <x v="35"/>
  </r>
  <r>
    <x v="13"/>
    <n v="1"/>
    <x v="3"/>
    <s v="           "/>
    <x v="0"/>
    <x v="0"/>
    <m/>
    <m/>
    <m/>
    <x v="1"/>
    <s v="           "/>
    <m/>
    <x v="8"/>
    <x v="8"/>
    <x v="6"/>
    <x v="2"/>
    <x v="36"/>
  </r>
  <r>
    <x v="36"/>
    <n v="1"/>
    <x v="6"/>
    <s v="           "/>
    <x v="2"/>
    <x v="7"/>
    <m/>
    <m/>
    <m/>
    <x v="0"/>
    <s v="           "/>
    <m/>
    <x v="8"/>
    <x v="8"/>
    <x v="6"/>
    <x v="2"/>
    <x v="37"/>
  </r>
  <r>
    <x v="19"/>
    <n v="1"/>
    <x v="3"/>
    <s v="           "/>
    <x v="0"/>
    <x v="0"/>
    <m/>
    <m/>
    <m/>
    <x v="1"/>
    <s v="           "/>
    <m/>
    <x v="8"/>
    <x v="8"/>
    <x v="6"/>
    <x v="2"/>
    <x v="38"/>
  </r>
  <r>
    <x v="20"/>
    <n v="1"/>
    <x v="7"/>
    <s v="           "/>
    <x v="2"/>
    <x v="2"/>
    <m/>
    <m/>
    <m/>
    <x v="25"/>
    <s v="           "/>
    <m/>
    <x v="8"/>
    <x v="8"/>
    <x v="6"/>
    <x v="2"/>
    <x v="39"/>
  </r>
  <r>
    <x v="38"/>
    <n v="0"/>
    <x v="3"/>
    <s v="           "/>
    <x v="0"/>
    <x v="0"/>
    <m/>
    <m/>
    <m/>
    <x v="1"/>
    <s v="           "/>
    <m/>
    <x v="8"/>
    <x v="8"/>
    <x v="6"/>
    <x v="2"/>
    <x v="40"/>
  </r>
  <r>
    <x v="10"/>
    <n v="1"/>
    <x v="12"/>
    <s v="           "/>
    <x v="2"/>
    <x v="0"/>
    <m/>
    <m/>
    <m/>
    <x v="25"/>
    <s v="           "/>
    <m/>
    <x v="9"/>
    <x v="9"/>
    <x v="7"/>
    <x v="2"/>
    <x v="0"/>
  </r>
  <r>
    <x v="10"/>
    <n v="1"/>
    <x v="1"/>
    <s v="           "/>
    <x v="0"/>
    <x v="0"/>
    <m/>
    <m/>
    <m/>
    <x v="1"/>
    <s v="           "/>
    <m/>
    <x v="10"/>
    <x v="10"/>
    <x v="7"/>
    <x v="2"/>
    <x v="32"/>
  </r>
  <r>
    <x v="10"/>
    <n v="1"/>
    <x v="13"/>
    <s v="           "/>
    <x v="2"/>
    <x v="0"/>
    <m/>
    <m/>
    <m/>
    <x v="26"/>
    <s v="           "/>
    <m/>
    <x v="9"/>
    <x v="9"/>
    <x v="7"/>
    <x v="2"/>
    <x v="41"/>
  </r>
  <r>
    <x v="33"/>
    <n v="1"/>
    <x v="1"/>
    <s v="           "/>
    <x v="0"/>
    <x v="0"/>
    <m/>
    <m/>
    <m/>
    <x v="1"/>
    <s v="           "/>
    <m/>
    <x v="9"/>
    <x v="9"/>
    <x v="7"/>
    <x v="2"/>
    <x v="42"/>
  </r>
  <r>
    <x v="33"/>
    <n v="1"/>
    <x v="9"/>
    <s v="           "/>
    <x v="2"/>
    <x v="0"/>
    <m/>
    <m/>
    <m/>
    <x v="27"/>
    <s v="           "/>
    <m/>
    <x v="9"/>
    <x v="9"/>
    <x v="7"/>
    <x v="2"/>
    <x v="0"/>
  </r>
  <r>
    <x v="34"/>
    <n v="1"/>
    <x v="6"/>
    <s v="           "/>
    <x v="1"/>
    <x v="7"/>
    <m/>
    <m/>
    <m/>
    <x v="0"/>
    <s v="           "/>
    <m/>
    <x v="11"/>
    <x v="11"/>
    <x v="7"/>
    <x v="2"/>
    <x v="0"/>
  </r>
  <r>
    <x v="47"/>
    <n v="1"/>
    <x v="1"/>
    <s v="           "/>
    <x v="0"/>
    <x v="0"/>
    <m/>
    <m/>
    <m/>
    <x v="1"/>
    <s v="           "/>
    <m/>
    <x v="9"/>
    <x v="9"/>
    <x v="7"/>
    <x v="2"/>
    <x v="43"/>
  </r>
  <r>
    <x v="13"/>
    <n v="1"/>
    <x v="1"/>
    <s v="           "/>
    <x v="0"/>
    <x v="0"/>
    <m/>
    <m/>
    <m/>
    <x v="1"/>
    <s v="           "/>
    <m/>
    <x v="9"/>
    <x v="9"/>
    <x v="7"/>
    <x v="2"/>
    <x v="44"/>
  </r>
  <r>
    <x v="48"/>
    <n v="0"/>
    <x v="7"/>
    <s v="           "/>
    <x v="0"/>
    <x v="0"/>
    <m/>
    <m/>
    <m/>
    <x v="1"/>
    <s v="           "/>
    <m/>
    <x v="9"/>
    <x v="9"/>
    <x v="7"/>
    <x v="2"/>
    <x v="45"/>
  </r>
  <r>
    <x v="49"/>
    <n v="1"/>
    <x v="3"/>
    <s v="           "/>
    <x v="0"/>
    <x v="0"/>
    <m/>
    <m/>
    <m/>
    <x v="1"/>
    <s v="           "/>
    <m/>
    <x v="9"/>
    <x v="9"/>
    <x v="7"/>
    <x v="2"/>
    <x v="43"/>
  </r>
  <r>
    <x v="19"/>
    <n v="1"/>
    <x v="3"/>
    <s v="           "/>
    <x v="0"/>
    <x v="0"/>
    <m/>
    <m/>
    <m/>
    <x v="1"/>
    <s v="           "/>
    <m/>
    <x v="10"/>
    <x v="10"/>
    <x v="7"/>
    <x v="2"/>
    <x v="32"/>
  </r>
  <r>
    <x v="19"/>
    <n v="1"/>
    <x v="13"/>
    <s v="           "/>
    <x v="2"/>
    <x v="5"/>
    <m/>
    <m/>
    <m/>
    <x v="28"/>
    <s v="           "/>
    <m/>
    <x v="9"/>
    <x v="9"/>
    <x v="7"/>
    <x v="2"/>
    <x v="44"/>
  </r>
  <r>
    <x v="50"/>
    <n v="1"/>
    <x v="7"/>
    <s v="           "/>
    <x v="3"/>
    <x v="2"/>
    <m/>
    <m/>
    <m/>
    <x v="0"/>
    <s v="           "/>
    <m/>
    <x v="5"/>
    <x v="5"/>
    <x v="8"/>
    <x v="4"/>
    <x v="0"/>
  </r>
  <r>
    <x v="51"/>
    <n v="1"/>
    <x v="7"/>
    <s v="           "/>
    <x v="2"/>
    <x v="2"/>
    <m/>
    <m/>
    <m/>
    <x v="29"/>
    <s v="           "/>
    <m/>
    <x v="12"/>
    <x v="12"/>
    <x v="8"/>
    <x v="4"/>
    <x v="46"/>
  </r>
  <r>
    <x v="52"/>
    <n v="0"/>
    <x v="6"/>
    <s v="           "/>
    <x v="0"/>
    <x v="0"/>
    <m/>
    <m/>
    <m/>
    <x v="1"/>
    <s v="           "/>
    <m/>
    <x v="13"/>
    <x v="13"/>
    <x v="8"/>
    <x v="4"/>
    <x v="47"/>
  </r>
  <r>
    <x v="53"/>
    <n v="1"/>
    <x v="5"/>
    <s v="           "/>
    <x v="2"/>
    <x v="3"/>
    <m/>
    <m/>
    <m/>
    <x v="30"/>
    <s v="           "/>
    <m/>
    <x v="13"/>
    <x v="13"/>
    <x v="8"/>
    <x v="4"/>
    <x v="0"/>
  </r>
  <r>
    <x v="1"/>
    <n v="1"/>
    <x v="5"/>
    <s v="           "/>
    <x v="1"/>
    <x v="3"/>
    <m/>
    <m/>
    <m/>
    <x v="31"/>
    <s v="           "/>
    <m/>
    <x v="5"/>
    <x v="5"/>
    <x v="8"/>
    <x v="4"/>
    <x v="48"/>
  </r>
  <r>
    <x v="54"/>
    <n v="0"/>
    <x v="6"/>
    <s v="           "/>
    <x v="0"/>
    <x v="0"/>
    <m/>
    <m/>
    <m/>
    <x v="1"/>
    <s v="           "/>
    <m/>
    <x v="5"/>
    <x v="5"/>
    <x v="8"/>
    <x v="4"/>
    <x v="47"/>
  </r>
  <r>
    <x v="5"/>
    <n v="1"/>
    <x v="1"/>
    <s v="           "/>
    <x v="0"/>
    <x v="0"/>
    <m/>
    <m/>
    <m/>
    <x v="1"/>
    <s v="           "/>
    <m/>
    <x v="5"/>
    <x v="5"/>
    <x v="8"/>
    <x v="4"/>
    <x v="49"/>
  </r>
  <r>
    <x v="5"/>
    <n v="1"/>
    <x v="14"/>
    <s v="           "/>
    <x v="0"/>
    <x v="0"/>
    <m/>
    <m/>
    <m/>
    <x v="1"/>
    <s v="           "/>
    <m/>
    <x v="13"/>
    <x v="13"/>
    <x v="8"/>
    <x v="4"/>
    <x v="49"/>
  </r>
  <r>
    <x v="5"/>
    <n v="1"/>
    <x v="10"/>
    <s v="           "/>
    <x v="2"/>
    <x v="8"/>
    <m/>
    <m/>
    <m/>
    <x v="22"/>
    <s v="           "/>
    <m/>
    <x v="14"/>
    <x v="14"/>
    <x v="8"/>
    <x v="4"/>
    <x v="0"/>
  </r>
  <r>
    <x v="55"/>
    <n v="0"/>
    <x v="0"/>
    <s v="           "/>
    <x v="0"/>
    <x v="0"/>
    <m/>
    <m/>
    <m/>
    <x v="1"/>
    <s v="           "/>
    <m/>
    <x v="14"/>
    <x v="14"/>
    <x v="8"/>
    <x v="4"/>
    <x v="50"/>
  </r>
  <r>
    <x v="55"/>
    <n v="1"/>
    <x v="4"/>
    <s v="           "/>
    <x v="2"/>
    <x v="0"/>
    <m/>
    <m/>
    <m/>
    <x v="32"/>
    <s v="           "/>
    <m/>
    <x v="14"/>
    <x v="14"/>
    <x v="8"/>
    <x v="4"/>
    <x v="51"/>
  </r>
  <r>
    <x v="55"/>
    <n v="1"/>
    <x v="4"/>
    <s v="           "/>
    <x v="0"/>
    <x v="0"/>
    <m/>
    <m/>
    <m/>
    <x v="1"/>
    <s v="           "/>
    <m/>
    <x v="13"/>
    <x v="13"/>
    <x v="8"/>
    <x v="4"/>
    <x v="52"/>
  </r>
  <r>
    <x v="56"/>
    <n v="0"/>
    <x v="0"/>
    <s v="           "/>
    <x v="0"/>
    <x v="0"/>
    <m/>
    <m/>
    <m/>
    <x v="1"/>
    <s v="           "/>
    <m/>
    <x v="14"/>
    <x v="14"/>
    <x v="8"/>
    <x v="4"/>
    <x v="53"/>
  </r>
  <r>
    <x v="57"/>
    <n v="0"/>
    <x v="0"/>
    <s v="           "/>
    <x v="0"/>
    <x v="0"/>
    <m/>
    <m/>
    <m/>
    <x v="1"/>
    <s v="           "/>
    <m/>
    <x v="14"/>
    <x v="14"/>
    <x v="8"/>
    <x v="4"/>
    <x v="54"/>
  </r>
  <r>
    <x v="39"/>
    <n v="0"/>
    <x v="3"/>
    <s v="           "/>
    <x v="0"/>
    <x v="0"/>
    <m/>
    <m/>
    <m/>
    <x v="1"/>
    <s v="           "/>
    <m/>
    <x v="14"/>
    <x v="14"/>
    <x v="8"/>
    <x v="4"/>
    <x v="55"/>
  </r>
  <r>
    <x v="46"/>
    <n v="0"/>
    <x v="3"/>
    <s v="           "/>
    <x v="0"/>
    <x v="0"/>
    <m/>
    <m/>
    <m/>
    <x v="1"/>
    <s v="           "/>
    <m/>
    <x v="15"/>
    <x v="15"/>
    <x v="9"/>
    <x v="3"/>
    <x v="56"/>
  </r>
  <r>
    <x v="58"/>
    <n v="0"/>
    <x v="3"/>
    <s v="           "/>
    <x v="0"/>
    <x v="0"/>
    <m/>
    <m/>
    <m/>
    <x v="1"/>
    <s v="           "/>
    <m/>
    <x v="15"/>
    <x v="15"/>
    <x v="9"/>
    <x v="3"/>
    <x v="57"/>
  </r>
  <r>
    <x v="59"/>
    <n v="0"/>
    <x v="3"/>
    <s v="           "/>
    <x v="0"/>
    <x v="0"/>
    <m/>
    <m/>
    <m/>
    <x v="1"/>
    <s v="           "/>
    <m/>
    <x v="15"/>
    <x v="15"/>
    <x v="9"/>
    <x v="3"/>
    <x v="58"/>
  </r>
  <r>
    <x v="25"/>
    <n v="1"/>
    <x v="4"/>
    <s v="           "/>
    <x v="1"/>
    <x v="1"/>
    <m/>
    <m/>
    <m/>
    <x v="33"/>
    <s v="           "/>
    <m/>
    <x v="16"/>
    <x v="16"/>
    <x v="10"/>
    <x v="1"/>
    <x v="0"/>
  </r>
  <r>
    <x v="25"/>
    <n v="1"/>
    <x v="5"/>
    <s v="           "/>
    <x v="2"/>
    <x v="3"/>
    <m/>
    <m/>
    <m/>
    <x v="34"/>
    <s v="           "/>
    <m/>
    <x v="16"/>
    <x v="16"/>
    <x v="10"/>
    <x v="1"/>
    <x v="0"/>
  </r>
  <r>
    <x v="26"/>
    <n v="0"/>
    <x v="0"/>
    <s v="           "/>
    <x v="0"/>
    <x v="0"/>
    <m/>
    <m/>
    <m/>
    <x v="1"/>
    <s v="           "/>
    <m/>
    <x v="16"/>
    <x v="16"/>
    <x v="10"/>
    <x v="1"/>
    <x v="5"/>
  </r>
  <r>
    <x v="44"/>
    <n v="1"/>
    <x v="6"/>
    <s v="           "/>
    <x v="2"/>
    <x v="7"/>
    <m/>
    <m/>
    <m/>
    <x v="23"/>
    <s v="           "/>
    <m/>
    <x v="16"/>
    <x v="16"/>
    <x v="10"/>
    <x v="1"/>
    <x v="30"/>
  </r>
  <r>
    <x v="1"/>
    <n v="1"/>
    <x v="7"/>
    <s v="           "/>
    <x v="2"/>
    <x v="2"/>
    <m/>
    <m/>
    <m/>
    <x v="35"/>
    <s v="           "/>
    <m/>
    <x v="16"/>
    <x v="16"/>
    <x v="10"/>
    <x v="1"/>
    <x v="0"/>
  </r>
  <r>
    <x v="23"/>
    <n v="0"/>
    <x v="3"/>
    <s v="           "/>
    <x v="0"/>
    <x v="0"/>
    <m/>
    <m/>
    <m/>
    <x v="1"/>
    <s v="           "/>
    <m/>
    <x v="16"/>
    <x v="16"/>
    <x v="10"/>
    <x v="1"/>
    <x v="59"/>
  </r>
  <r>
    <x v="31"/>
    <n v="0"/>
    <x v="3"/>
    <s v="           "/>
    <x v="0"/>
    <x v="0"/>
    <m/>
    <m/>
    <m/>
    <x v="1"/>
    <s v="           "/>
    <m/>
    <x v="16"/>
    <x v="16"/>
    <x v="10"/>
    <x v="1"/>
    <x v="60"/>
  </r>
  <r>
    <x v="25"/>
    <n v="1"/>
    <x v="0"/>
    <s v="           "/>
    <x v="1"/>
    <x v="9"/>
    <m/>
    <m/>
    <m/>
    <x v="36"/>
    <s v="           "/>
    <m/>
    <x v="17"/>
    <x v="17"/>
    <x v="11"/>
    <x v="1"/>
    <x v="61"/>
  </r>
  <r>
    <x v="44"/>
    <n v="0"/>
    <x v="0"/>
    <s v="           "/>
    <x v="0"/>
    <x v="0"/>
    <m/>
    <m/>
    <m/>
    <x v="1"/>
    <s v="           "/>
    <m/>
    <x v="17"/>
    <x v="17"/>
    <x v="11"/>
    <x v="1"/>
    <x v="62"/>
  </r>
  <r>
    <x v="27"/>
    <n v="0"/>
    <x v="0"/>
    <s v="           "/>
    <x v="0"/>
    <x v="0"/>
    <m/>
    <m/>
    <m/>
    <x v="1"/>
    <s v="           "/>
    <m/>
    <x v="17"/>
    <x v="17"/>
    <x v="11"/>
    <x v="1"/>
    <x v="63"/>
  </r>
  <r>
    <x v="60"/>
    <n v="0"/>
    <x v="0"/>
    <s v="           "/>
    <x v="0"/>
    <x v="0"/>
    <m/>
    <m/>
    <m/>
    <x v="1"/>
    <s v="           "/>
    <m/>
    <x v="17"/>
    <x v="17"/>
    <x v="11"/>
    <x v="1"/>
    <x v="64"/>
  </r>
  <r>
    <x v="55"/>
    <n v="0"/>
    <x v="0"/>
    <s v="           "/>
    <x v="1"/>
    <x v="9"/>
    <m/>
    <m/>
    <m/>
    <x v="24"/>
    <s v="           "/>
    <m/>
    <x v="17"/>
    <x v="17"/>
    <x v="11"/>
    <x v="1"/>
    <x v="65"/>
  </r>
  <r>
    <x v="56"/>
    <n v="0"/>
    <x v="0"/>
    <s v="           "/>
    <x v="0"/>
    <x v="0"/>
    <m/>
    <m/>
    <m/>
    <x v="1"/>
    <s v="           "/>
    <m/>
    <x v="17"/>
    <x v="17"/>
    <x v="11"/>
    <x v="1"/>
    <x v="66"/>
  </r>
  <r>
    <x v="26"/>
    <n v="1"/>
    <x v="7"/>
    <s v="           "/>
    <x v="1"/>
    <x v="7"/>
    <m/>
    <m/>
    <m/>
    <x v="15"/>
    <s v="           "/>
    <m/>
    <x v="18"/>
    <x v="18"/>
    <x v="12"/>
    <x v="1"/>
    <x v="67"/>
  </r>
  <r>
    <x v="61"/>
    <n v="1"/>
    <x v="5"/>
    <s v="           "/>
    <x v="1"/>
    <x v="3"/>
    <m/>
    <m/>
    <m/>
    <x v="15"/>
    <s v="           "/>
    <m/>
    <x v="18"/>
    <x v="18"/>
    <x v="12"/>
    <x v="1"/>
    <x v="0"/>
  </r>
  <r>
    <x v="61"/>
    <n v="1"/>
    <x v="7"/>
    <s v="           "/>
    <x v="0"/>
    <x v="0"/>
    <m/>
    <m/>
    <m/>
    <x v="1"/>
    <s v="           "/>
    <m/>
    <x v="18"/>
    <x v="18"/>
    <x v="12"/>
    <x v="1"/>
    <x v="17"/>
  </r>
  <r>
    <x v="62"/>
    <n v="1"/>
    <x v="4"/>
    <s v="           "/>
    <x v="2"/>
    <x v="1"/>
    <m/>
    <m/>
    <m/>
    <x v="8"/>
    <s v="           "/>
    <m/>
    <x v="18"/>
    <x v="18"/>
    <x v="12"/>
    <x v="1"/>
    <x v="0"/>
  </r>
  <r>
    <x v="23"/>
    <n v="0"/>
    <x v="3"/>
    <s v="           "/>
    <x v="0"/>
    <x v="0"/>
    <m/>
    <m/>
    <m/>
    <x v="1"/>
    <s v="           "/>
    <m/>
    <x v="18"/>
    <x v="18"/>
    <x v="12"/>
    <x v="1"/>
    <x v="68"/>
  </r>
  <r>
    <x v="31"/>
    <n v="0"/>
    <x v="3"/>
    <s v="           "/>
    <x v="0"/>
    <x v="0"/>
    <m/>
    <m/>
    <m/>
    <x v="1"/>
    <s v="           "/>
    <m/>
    <x v="18"/>
    <x v="18"/>
    <x v="12"/>
    <x v="1"/>
    <x v="69"/>
  </r>
  <r>
    <x v="61"/>
    <n v="1"/>
    <x v="7"/>
    <s v="           "/>
    <x v="3"/>
    <x v="2"/>
    <m/>
    <m/>
    <m/>
    <x v="4"/>
    <s v="           "/>
    <m/>
    <x v="19"/>
    <x v="19"/>
    <x v="13"/>
    <x v="1"/>
    <x v="17"/>
  </r>
  <r>
    <x v="62"/>
    <n v="1"/>
    <x v="5"/>
    <s v="           "/>
    <x v="2"/>
    <x v="3"/>
    <m/>
    <m/>
    <m/>
    <x v="20"/>
    <s v="           "/>
    <m/>
    <x v="19"/>
    <x v="19"/>
    <x v="13"/>
    <x v="1"/>
    <x v="0"/>
  </r>
  <r>
    <x v="63"/>
    <n v="1"/>
    <x v="4"/>
    <s v="           "/>
    <x v="2"/>
    <x v="1"/>
    <m/>
    <m/>
    <m/>
    <x v="20"/>
    <s v="           "/>
    <m/>
    <x v="19"/>
    <x v="19"/>
    <x v="13"/>
    <x v="1"/>
    <x v="0"/>
  </r>
  <r>
    <x v="27"/>
    <n v="1"/>
    <x v="6"/>
    <s v="           "/>
    <x v="1"/>
    <x v="7"/>
    <m/>
    <m/>
    <m/>
    <x v="23"/>
    <s v="           "/>
    <m/>
    <x v="19"/>
    <x v="19"/>
    <x v="13"/>
    <x v="1"/>
    <x v="70"/>
  </r>
  <r>
    <x v="64"/>
    <n v="1"/>
    <x v="3"/>
    <s v="           "/>
    <x v="0"/>
    <x v="0"/>
    <m/>
    <m/>
    <m/>
    <x v="1"/>
    <s v="           "/>
    <m/>
    <x v="19"/>
    <x v="19"/>
    <x v="13"/>
    <x v="1"/>
    <x v="71"/>
  </r>
  <r>
    <x v="64"/>
    <n v="1"/>
    <x v="15"/>
    <s v="           "/>
    <x v="2"/>
    <x v="10"/>
    <m/>
    <m/>
    <m/>
    <x v="23"/>
    <s v="           "/>
    <m/>
    <x v="19"/>
    <x v="19"/>
    <x v="13"/>
    <x v="1"/>
    <x v="68"/>
  </r>
  <r>
    <x v="64"/>
    <n v="1"/>
    <x v="16"/>
    <s v="           "/>
    <x v="0"/>
    <x v="11"/>
    <m/>
    <m/>
    <m/>
    <x v="22"/>
    <s v="           "/>
    <m/>
    <x v="19"/>
    <x v="19"/>
    <x v="13"/>
    <x v="1"/>
    <x v="72"/>
  </r>
  <r>
    <x v="64"/>
    <n v="1"/>
    <x v="3"/>
    <s v="           "/>
    <x v="0"/>
    <x v="0"/>
    <m/>
    <m/>
    <m/>
    <x v="1"/>
    <s v="           "/>
    <m/>
    <x v="19"/>
    <x v="19"/>
    <x v="13"/>
    <x v="1"/>
    <x v="73"/>
  </r>
  <r>
    <x v="22"/>
    <n v="1"/>
    <x v="1"/>
    <s v="           "/>
    <x v="0"/>
    <x v="0"/>
    <m/>
    <m/>
    <m/>
    <x v="1"/>
    <s v="           "/>
    <m/>
    <x v="19"/>
    <x v="19"/>
    <x v="13"/>
    <x v="1"/>
    <x v="74"/>
  </r>
  <r>
    <x v="45"/>
    <n v="0"/>
    <x v="0"/>
    <s v="           "/>
    <x v="0"/>
    <x v="0"/>
    <m/>
    <m/>
    <m/>
    <x v="1"/>
    <s v="           "/>
    <m/>
    <x v="20"/>
    <x v="20"/>
    <x v="14"/>
    <x v="1"/>
    <x v="75"/>
  </r>
  <r>
    <x v="55"/>
    <n v="0"/>
    <x v="0"/>
    <s v="           "/>
    <x v="0"/>
    <x v="0"/>
    <m/>
    <m/>
    <m/>
    <x v="1"/>
    <s v="           "/>
    <m/>
    <x v="20"/>
    <x v="20"/>
    <x v="14"/>
    <x v="1"/>
    <x v="62"/>
  </r>
  <r>
    <x v="57"/>
    <n v="0"/>
    <x v="0"/>
    <s v="           "/>
    <x v="0"/>
    <x v="0"/>
    <m/>
    <m/>
    <m/>
    <x v="1"/>
    <s v="           "/>
    <m/>
    <x v="20"/>
    <x v="20"/>
    <x v="14"/>
    <x v="1"/>
    <x v="76"/>
  </r>
</pivotCacheRecords>
</file>

<file path=xl/pivotCache/pivotCacheRecords2.xml><?xml version="1.0" encoding="utf-8"?>
<pivotCacheRecords xmlns="http://schemas.openxmlformats.org/spreadsheetml/2006/main" xmlns:r="http://schemas.openxmlformats.org/officeDocument/2006/relationships" count="147">
  <r>
    <x v="0"/>
    <n v="1"/>
    <x v="0"/>
    <s v="           "/>
    <s v="           "/>
    <s v="           "/>
    <m/>
    <m/>
    <m/>
    <x v="0"/>
    <s v="           "/>
    <n v="0"/>
    <s v="           "/>
    <m/>
    <s v="           "/>
    <x v="0"/>
    <s v="           "/>
    <s v="           "/>
    <s v="           "/>
  </r>
  <r>
    <x v="1"/>
    <n v="1"/>
    <x v="1"/>
    <s v="           "/>
    <s v="           "/>
    <s v="           "/>
    <m/>
    <m/>
    <m/>
    <x v="1"/>
    <s v="           "/>
    <n v="0"/>
    <s v="           "/>
    <m/>
    <s v="           "/>
    <x v="0"/>
    <s v="           "/>
    <s v="           "/>
    <s v="           "/>
  </r>
  <r>
    <x v="1"/>
    <n v="1"/>
    <x v="1"/>
    <s v="           "/>
    <s v="Claas 836 mf"/>
    <s v="Kombi såmask."/>
    <m/>
    <m/>
    <m/>
    <x v="1"/>
    <s v="           "/>
    <n v="0"/>
    <s v="           "/>
    <m/>
    <s v="           "/>
    <x v="0"/>
    <s v="           "/>
    <s v="           "/>
    <s v="           "/>
  </r>
  <r>
    <x v="1"/>
    <n v="1"/>
    <x v="2"/>
    <s v="           "/>
    <s v="Claas 836 rz"/>
    <s v="Gyllevogn"/>
    <m/>
    <m/>
    <m/>
    <x v="2"/>
    <s v="           "/>
    <n v="0"/>
    <s v="           "/>
    <m/>
    <s v="           "/>
    <x v="0"/>
    <s v="           "/>
    <s v="           "/>
    <s v="           "/>
  </r>
  <r>
    <x v="2"/>
    <n v="1"/>
    <x v="2"/>
    <s v="           "/>
    <s v="Claas 836 rz"/>
    <s v="Gyllevogn"/>
    <m/>
    <m/>
    <m/>
    <x v="3"/>
    <s v="           "/>
    <n v="0"/>
    <s v="           "/>
    <m/>
    <s v="           "/>
    <x v="0"/>
    <s v="           "/>
    <s v="           "/>
    <s v="           "/>
  </r>
  <r>
    <x v="3"/>
    <n v="1"/>
    <x v="2"/>
    <s v="           "/>
    <s v="Claas 836 rz"/>
    <s v="Gyllevogn"/>
    <m/>
    <m/>
    <m/>
    <x v="2"/>
    <s v="           "/>
    <n v="0"/>
    <s v="           "/>
    <m/>
    <s v="           "/>
    <x v="0"/>
    <s v="           "/>
    <s v="           "/>
    <s v="           "/>
  </r>
  <r>
    <x v="4"/>
    <n v="1"/>
    <x v="2"/>
    <s v="           "/>
    <s v="Claas 836 rz"/>
    <s v="           "/>
    <m/>
    <m/>
    <m/>
    <x v="4"/>
    <s v="           "/>
    <n v="0"/>
    <s v="           "/>
    <m/>
    <s v="           "/>
    <x v="0"/>
    <s v="           "/>
    <s v="           "/>
    <s v="           "/>
  </r>
  <r>
    <x v="5"/>
    <n v="0"/>
    <x v="1"/>
    <s v="           "/>
    <s v="Claas 836 mf"/>
    <s v="Plov"/>
    <m/>
    <m/>
    <m/>
    <x v="5"/>
    <s v="           "/>
    <n v="1"/>
    <s v="           "/>
    <m/>
    <s v="           "/>
    <x v="0"/>
    <s v="           "/>
    <s v="           "/>
    <s v="           "/>
  </r>
  <r>
    <x v="6"/>
    <n v="1"/>
    <x v="2"/>
    <s v="           "/>
    <s v="Claas 836 rz"/>
    <s v="           "/>
    <m/>
    <m/>
    <m/>
    <x v="6"/>
    <s v="           "/>
    <n v="0"/>
    <s v="           "/>
    <m/>
    <s v="           "/>
    <x v="0"/>
    <s v="           "/>
    <s v="           "/>
    <s v="           "/>
  </r>
  <r>
    <x v="7"/>
    <n v="1"/>
    <x v="2"/>
    <s v="           "/>
    <s v="Claas 836 rz"/>
    <s v="Plov"/>
    <m/>
    <m/>
    <m/>
    <x v="4"/>
    <s v="           "/>
    <n v="0"/>
    <s v="           "/>
    <m/>
    <s v="           "/>
    <x v="0"/>
    <s v="           "/>
    <s v="           "/>
    <s v="           "/>
  </r>
  <r>
    <x v="7"/>
    <n v="1"/>
    <x v="2"/>
    <s v="           "/>
    <s v="Claas 836 rz"/>
    <s v="Græsvogn"/>
    <m/>
    <m/>
    <m/>
    <x v="7"/>
    <s v="           "/>
    <n v="0"/>
    <s v="           "/>
    <m/>
    <s v="           "/>
    <x v="0"/>
    <s v="           "/>
    <s v="           "/>
    <s v="           "/>
  </r>
  <r>
    <x v="8"/>
    <n v="1"/>
    <x v="2"/>
    <s v="           "/>
    <s v="Claas 836 rz"/>
    <s v="Græsrive"/>
    <m/>
    <m/>
    <m/>
    <x v="8"/>
    <s v="           "/>
    <n v="0"/>
    <s v="           "/>
    <m/>
    <s v="           "/>
    <x v="0"/>
    <s v="           "/>
    <s v="           "/>
    <s v="           "/>
  </r>
  <r>
    <x v="9"/>
    <n v="1"/>
    <x v="2"/>
    <s v="           "/>
    <s v="Claas 836 rz"/>
    <s v="           "/>
    <m/>
    <m/>
    <m/>
    <x v="2"/>
    <s v="           "/>
    <n v="0"/>
    <s v="           "/>
    <m/>
    <s v="           "/>
    <x v="0"/>
    <s v="           "/>
    <s v="           "/>
    <s v="           "/>
  </r>
  <r>
    <x v="10"/>
    <n v="1"/>
    <x v="2"/>
    <s v="           "/>
    <s v="Claas 836 rz"/>
    <s v="Græsrive"/>
    <m/>
    <m/>
    <m/>
    <x v="7"/>
    <s v="           "/>
    <n v="0"/>
    <s v="           "/>
    <m/>
    <s v="           "/>
    <x v="0"/>
    <s v="           "/>
    <s v="           "/>
    <s v="           "/>
  </r>
  <r>
    <x v="11"/>
    <n v="1"/>
    <x v="2"/>
    <s v="           "/>
    <s v="Claas 836 rz"/>
    <s v="           "/>
    <m/>
    <m/>
    <m/>
    <x v="7"/>
    <s v="           "/>
    <n v="0"/>
    <s v="           "/>
    <m/>
    <s v="           "/>
    <x v="0"/>
    <s v="           "/>
    <s v="           "/>
    <s v="           "/>
  </r>
  <r>
    <x v="12"/>
    <n v="0"/>
    <x v="1"/>
    <s v="           "/>
    <s v="           "/>
    <s v="           "/>
    <m/>
    <m/>
    <m/>
    <x v="1"/>
    <s v="           "/>
    <n v="0"/>
    <s v="           "/>
    <m/>
    <s v="           "/>
    <x v="0"/>
    <s v="           "/>
    <s v="           "/>
    <s v="           "/>
  </r>
  <r>
    <x v="12"/>
    <n v="1"/>
    <x v="2"/>
    <s v="           "/>
    <s v="Claas 836 mf"/>
    <s v="Vandingsmaskine"/>
    <m/>
    <m/>
    <m/>
    <x v="9"/>
    <s v="           "/>
    <n v="0"/>
    <s v="           "/>
    <m/>
    <s v="           "/>
    <x v="0"/>
    <s v="           "/>
    <s v="           "/>
    <s v="           "/>
  </r>
  <r>
    <x v="13"/>
    <n v="1"/>
    <x v="2"/>
    <s v="           "/>
    <s v="Claas 836 rz"/>
    <s v="Græsrive"/>
    <m/>
    <m/>
    <m/>
    <x v="3"/>
    <s v="           "/>
    <n v="0"/>
    <s v="           "/>
    <m/>
    <s v="           "/>
    <x v="0"/>
    <s v="           "/>
    <s v="           "/>
    <s v="           "/>
  </r>
  <r>
    <x v="14"/>
    <n v="1"/>
    <x v="2"/>
    <s v="           "/>
    <s v="Claas 836 rz"/>
    <s v="Græsrive"/>
    <m/>
    <m/>
    <m/>
    <x v="2"/>
    <s v="           "/>
    <n v="0"/>
    <s v="           "/>
    <m/>
    <s v="           "/>
    <x v="0"/>
    <s v="           "/>
    <s v="           "/>
    <s v="           "/>
  </r>
  <r>
    <x v="14"/>
    <n v="1"/>
    <x v="2"/>
    <s v="           "/>
    <s v="Claas 836 mf"/>
    <s v="           "/>
    <m/>
    <m/>
    <m/>
    <x v="7"/>
    <s v="           "/>
    <n v="0"/>
    <s v="           "/>
    <m/>
    <s v="           "/>
    <x v="0"/>
    <s v="           "/>
    <s v="           "/>
    <s v="           "/>
  </r>
  <r>
    <x v="15"/>
    <n v="1"/>
    <x v="2"/>
    <s v="           "/>
    <s v="Claas 836 rz"/>
    <s v="Græsrive"/>
    <m/>
    <m/>
    <m/>
    <x v="2"/>
    <s v="           "/>
    <n v="0"/>
    <s v="           "/>
    <m/>
    <s v="           "/>
    <x v="0"/>
    <s v="           "/>
    <s v="           "/>
    <s v="           "/>
  </r>
  <r>
    <x v="16"/>
    <n v="1"/>
    <x v="2"/>
    <s v="           "/>
    <s v="Claas 836 mf"/>
    <s v="           "/>
    <m/>
    <m/>
    <m/>
    <x v="10"/>
    <s v="           "/>
    <n v="0"/>
    <s v="           "/>
    <m/>
    <s v="           "/>
    <x v="0"/>
    <s v="           "/>
    <s v="           "/>
    <s v="           "/>
  </r>
  <r>
    <x v="17"/>
    <n v="1"/>
    <x v="2"/>
    <s v="           "/>
    <s v="Claas 836 mf"/>
    <s v="           "/>
    <m/>
    <m/>
    <m/>
    <x v="7"/>
    <s v="           "/>
    <n v="0"/>
    <s v="           "/>
    <m/>
    <s v="           "/>
    <x v="0"/>
    <s v="           "/>
    <s v="           "/>
    <s v="           "/>
  </r>
  <r>
    <x v="18"/>
    <n v="1"/>
    <x v="2"/>
    <s v="           "/>
    <s v="Claas 836 rz"/>
    <s v="           "/>
    <m/>
    <m/>
    <m/>
    <x v="7"/>
    <s v="           "/>
    <n v="0"/>
    <s v="           "/>
    <m/>
    <s v="           "/>
    <x v="0"/>
    <s v="           "/>
    <s v="           "/>
    <s v="           "/>
  </r>
  <r>
    <x v="19"/>
    <n v="1"/>
    <x v="2"/>
    <s v="           "/>
    <s v="Claas 836 rz"/>
    <s v="           "/>
    <m/>
    <m/>
    <m/>
    <x v="10"/>
    <s v="           "/>
    <n v="0"/>
    <s v="           "/>
    <m/>
    <s v="           "/>
    <x v="0"/>
    <s v="           "/>
    <s v="           "/>
    <s v="           "/>
  </r>
  <r>
    <x v="20"/>
    <n v="1"/>
    <x v="2"/>
    <s v="           "/>
    <s v="Claas 836 rz"/>
    <s v="Græsrive"/>
    <m/>
    <m/>
    <m/>
    <x v="2"/>
    <s v="           "/>
    <n v="0"/>
    <s v="           "/>
    <m/>
    <s v="           "/>
    <x v="0"/>
    <s v="           "/>
    <s v="           "/>
    <s v="           "/>
  </r>
  <r>
    <x v="21"/>
    <n v="1"/>
    <x v="2"/>
    <s v="           "/>
    <s v="Claas 836 mf"/>
    <s v="           "/>
    <m/>
    <m/>
    <m/>
    <x v="7"/>
    <s v="           "/>
    <n v="0"/>
    <s v="           "/>
    <m/>
    <s v="           "/>
    <x v="0"/>
    <s v="           "/>
    <s v="           "/>
    <s v="           "/>
  </r>
  <r>
    <x v="21"/>
    <n v="1"/>
    <x v="2"/>
    <s v="           "/>
    <s v="Claas 836 rz"/>
    <s v="Græsvogn"/>
    <m/>
    <m/>
    <m/>
    <x v="2"/>
    <s v="           "/>
    <n v="0"/>
    <s v="           "/>
    <m/>
    <s v="           "/>
    <x v="0"/>
    <s v="           "/>
    <s v="           "/>
    <s v="           "/>
  </r>
  <r>
    <x v="22"/>
    <n v="0"/>
    <x v="1"/>
    <s v="           "/>
    <s v="           "/>
    <s v="           "/>
    <m/>
    <m/>
    <m/>
    <x v="1"/>
    <s v="           "/>
    <n v="0"/>
    <s v="           "/>
    <m/>
    <s v="           "/>
    <x v="0"/>
    <s v="           "/>
    <s v="           "/>
    <s v="           "/>
  </r>
  <r>
    <x v="22"/>
    <n v="1"/>
    <x v="2"/>
    <s v="           "/>
    <s v="Claas 836 rz"/>
    <s v="Plov"/>
    <m/>
    <m/>
    <m/>
    <x v="3"/>
    <s v="           "/>
    <n v="0"/>
    <s v="           "/>
    <m/>
    <s v="           "/>
    <x v="0"/>
    <s v="           "/>
    <s v="           "/>
    <s v="           "/>
  </r>
  <r>
    <x v="23"/>
    <n v="1"/>
    <x v="2"/>
    <s v="           "/>
    <s v="           "/>
    <s v="Græsvogn"/>
    <m/>
    <m/>
    <m/>
    <x v="11"/>
    <s v="           "/>
    <n v="0"/>
    <s v="           "/>
    <m/>
    <s v="           "/>
    <x v="0"/>
    <s v="           "/>
    <s v="           "/>
    <s v="           "/>
  </r>
  <r>
    <x v="23"/>
    <n v="1"/>
    <x v="2"/>
    <s v="           "/>
    <s v="Claas 836 rz"/>
    <s v="           "/>
    <m/>
    <m/>
    <m/>
    <x v="7"/>
    <s v="           "/>
    <n v="0"/>
    <s v="           "/>
    <m/>
    <s v="           "/>
    <x v="0"/>
    <s v="           "/>
    <s v="           "/>
    <s v="           "/>
  </r>
  <r>
    <x v="23"/>
    <n v="1"/>
    <x v="2"/>
    <s v="           "/>
    <s v="Claas 836 mf"/>
    <s v="           "/>
    <m/>
    <m/>
    <m/>
    <x v="7"/>
    <s v="           "/>
    <n v="0"/>
    <s v="           "/>
    <m/>
    <s v="           "/>
    <x v="0"/>
    <s v="           "/>
    <s v="           "/>
    <s v="           "/>
  </r>
  <r>
    <x v="24"/>
    <n v="0"/>
    <x v="3"/>
    <s v="           "/>
    <s v="           "/>
    <s v="           "/>
    <m/>
    <m/>
    <m/>
    <x v="1"/>
    <s v="           "/>
    <m/>
    <s v="7-0, 30-0, 31-0"/>
    <n v="38.29"/>
    <s v="Eft.afg. a kl.gr., dæks.h.aug"/>
    <x v="0"/>
    <s v="Afgræsning, netto 800,000 fe/ha"/>
    <s v="           "/>
    <s v="           "/>
  </r>
  <r>
    <x v="25"/>
    <n v="1"/>
    <x v="4"/>
    <s v="           "/>
    <s v="           "/>
    <s v="           "/>
    <m/>
    <m/>
    <m/>
    <x v="1"/>
    <s v="           "/>
    <m/>
    <s v="25-0"/>
    <n v="36.700000000000003"/>
    <s v="Helsæd, vinterhvede"/>
    <x v="1"/>
    <s v="Sortsblanding 185,000 kg      /ha, Radsåning_E 1,000 /ha"/>
    <s v="           "/>
    <s v="           "/>
  </r>
  <r>
    <x v="25"/>
    <n v="1"/>
    <x v="0"/>
    <s v="           "/>
    <s v="           "/>
    <s v="           "/>
    <m/>
    <m/>
    <m/>
    <x v="1"/>
    <s v="           "/>
    <m/>
    <s v="25-0"/>
    <n v="36.700000000000003"/>
    <s v="Helsæd, vinterhvede"/>
    <x v="1"/>
    <s v="Boxer EC 1,500 l/ha, DFF 0,030 l/ha, Oxitril CM 0,120 l/ha"/>
    <s v="           "/>
    <s v="           "/>
  </r>
  <r>
    <x v="25"/>
    <n v="1"/>
    <x v="4"/>
    <s v="           "/>
    <s v="Claas 836 rz"/>
    <s v="Kombi såmask."/>
    <m/>
    <m/>
    <m/>
    <x v="12"/>
    <s v="           "/>
    <m/>
    <s v="25-0"/>
    <n v="36.700000000000003"/>
    <s v="Helsæd, vinterhvede"/>
    <x v="1"/>
    <s v="           "/>
    <s v="           "/>
    <s v="           "/>
  </r>
  <r>
    <x v="25"/>
    <n v="1"/>
    <x v="0"/>
    <s v="           "/>
    <s v="           "/>
    <s v="           "/>
    <m/>
    <m/>
    <m/>
    <x v="1"/>
    <s v="           "/>
    <m/>
    <s v="25-0"/>
    <n v="36.700000000000003"/>
    <s v="Helsæd, vinterhvede"/>
    <x v="1"/>
    <s v="Sprøjtning_E 1,000 /ha"/>
    <s v="           "/>
    <s v="           "/>
  </r>
  <r>
    <x v="25"/>
    <n v="1"/>
    <x v="5"/>
    <s v="           "/>
    <s v="Claas 836 mf"/>
    <s v="Plov"/>
    <m/>
    <m/>
    <m/>
    <x v="13"/>
    <s v="           "/>
    <m/>
    <s v="25-0"/>
    <n v="36.700000000000003"/>
    <s v="Helsæd, vinterhvede"/>
    <x v="1"/>
    <s v="           "/>
    <s v="           "/>
    <s v="           "/>
  </r>
  <r>
    <x v="26"/>
    <n v="1"/>
    <x v="0"/>
    <s v="           "/>
    <s v="           "/>
    <s v="           "/>
    <m/>
    <m/>
    <m/>
    <x v="1"/>
    <s v="           "/>
    <m/>
    <s v="25-0"/>
    <n v="36.700000000000003"/>
    <s v="Helsæd, vinterhvede"/>
    <x v="1"/>
    <s v="Atlantis OD 0,000 l/ha"/>
    <s v="           "/>
    <s v="           "/>
  </r>
  <r>
    <x v="27"/>
    <n v="1"/>
    <x v="6"/>
    <s v="           "/>
    <s v="Claas 836 mf"/>
    <s v="Gødningsspreder"/>
    <m/>
    <m/>
    <m/>
    <x v="0"/>
    <s v="           "/>
    <m/>
    <s v="25-0"/>
    <n v="36.700000000000003"/>
    <s v="Helsæd, vinterhvede"/>
    <x v="1"/>
    <s v="NS 24- 7 (7,0 S) 310,000 kg/ha, Gødningsudbringning_E 1,000 /ha"/>
    <s v="           "/>
    <s v="           "/>
  </r>
  <r>
    <x v="28"/>
    <n v="1"/>
    <x v="4"/>
    <s v="           "/>
    <s v="Claas 836 rz"/>
    <s v="Kombi såmask."/>
    <m/>
    <m/>
    <m/>
    <x v="14"/>
    <s v="           "/>
    <m/>
    <s v="25-0"/>
    <n v="36.700000000000003"/>
    <s v="Helsæd, vinterhvede"/>
    <x v="1"/>
    <s v="           "/>
    <s v="           "/>
    <s v="           "/>
  </r>
  <r>
    <x v="29"/>
    <n v="1"/>
    <x v="7"/>
    <s v="           "/>
    <s v="Claas 836 rz"/>
    <s v="           "/>
    <m/>
    <m/>
    <m/>
    <x v="15"/>
    <s v="           "/>
    <m/>
    <s v="25-0"/>
    <n v="36.700000000000003"/>
    <s v="Helsæd, vinterhvede"/>
    <x v="1"/>
    <s v="Afgasset gylle 35,000 ton/ha"/>
    <s v="           "/>
    <s v="Udkørsel skete over 4 dage med ialt 20 timer"/>
  </r>
  <r>
    <x v="9"/>
    <n v="1"/>
    <x v="7"/>
    <s v="           "/>
    <s v="Claas 836 rz"/>
    <s v="           "/>
    <m/>
    <m/>
    <m/>
    <x v="15"/>
    <s v="           "/>
    <m/>
    <s v="25-0"/>
    <n v="36.700000000000003"/>
    <s v="Helsæd, vinterhvede"/>
    <x v="1"/>
    <s v="Afgasset gylle 30,000 ton/ha"/>
    <s v="           "/>
    <s v="           "/>
  </r>
  <r>
    <x v="30"/>
    <n v="1"/>
    <x v="1"/>
    <s v="           "/>
    <s v="           "/>
    <s v="           "/>
    <m/>
    <m/>
    <m/>
    <x v="1"/>
    <s v="           "/>
    <m/>
    <s v="25-0"/>
    <n v="36.700000000000003"/>
    <s v="Helsæd, vinterhvede"/>
    <x v="1"/>
    <s v="Finsnitning, helsæd_M 1,000 /ha, Hjemkørsel_M 1,000 Time/ha, Indlægning i plansilo_M 0,500 Time/ha"/>
    <s v="           "/>
    <s v="           "/>
  </r>
  <r>
    <x v="30"/>
    <n v="1"/>
    <x v="8"/>
    <s v="           "/>
    <s v="Claas 836 mf"/>
    <s v="           "/>
    <m/>
    <m/>
    <m/>
    <x v="16"/>
    <s v="           "/>
    <m/>
    <s v="25-0"/>
    <n v="36.700000000000003"/>
    <s v="Helsæd, vinterhvede"/>
    <x v="1"/>
    <s v="Indlægning i plansilo_E 0,220 Time/ha"/>
    <s v="           "/>
    <s v="           "/>
  </r>
  <r>
    <x v="30"/>
    <n v="1"/>
    <x v="1"/>
    <s v="           "/>
    <s v="           "/>
    <s v="           "/>
    <m/>
    <m/>
    <m/>
    <x v="1"/>
    <s v="           "/>
    <m/>
    <s v="25-0"/>
    <n v="36.700000000000003"/>
    <s v="Helsæd, vinterhvede"/>
    <x v="1"/>
    <s v="Hjemkørsel_E 0,250 Time/ha"/>
    <s v="           "/>
    <s v="           "/>
  </r>
  <r>
    <x v="30"/>
    <n v="1"/>
    <x v="9"/>
    <s v="           "/>
    <s v="Claas 836 rz"/>
    <s v="Græsvogn"/>
    <m/>
    <m/>
    <m/>
    <x v="17"/>
    <s v="           "/>
    <m/>
    <s v="25-0"/>
    <n v="36.700000000000003"/>
    <s v="Helsæd, vinterhvede"/>
    <x v="1"/>
    <s v="Slæt, juli 8000,000 fe/ha"/>
    <s v="           "/>
    <s v="           "/>
  </r>
  <r>
    <x v="23"/>
    <n v="0"/>
    <x v="3"/>
    <s v="           "/>
    <s v="           "/>
    <s v="           "/>
    <m/>
    <m/>
    <m/>
    <x v="1"/>
    <s v="           "/>
    <m/>
    <s v="25-0"/>
    <n v="36.700000000000003"/>
    <s v="Helsæd, vinterhvede"/>
    <x v="1"/>
    <s v="           "/>
    <s v="           "/>
    <s v="           "/>
  </r>
  <r>
    <x v="31"/>
    <n v="0"/>
    <x v="3"/>
    <s v="           "/>
    <s v="           "/>
    <s v="           "/>
    <m/>
    <m/>
    <m/>
    <x v="1"/>
    <s v="           "/>
    <m/>
    <s v="25-0"/>
    <n v="36.700000000000003"/>
    <s v="Helsæd, vinterhvede"/>
    <x v="1"/>
    <s v="           "/>
    <s v="           "/>
    <s v="           "/>
  </r>
  <r>
    <x v="25"/>
    <n v="1"/>
    <x v="4"/>
    <s v="           "/>
    <s v="Claas 836 rz"/>
    <s v="Kombi såmask."/>
    <m/>
    <m/>
    <m/>
    <x v="18"/>
    <s v="           "/>
    <m/>
    <s v="1-0"/>
    <n v="27"/>
    <s v="Kl.græs, s. u.50%kl. udl.eft.å"/>
    <x v="2"/>
    <s v="Radsåning_E 1,000 /ha"/>
    <s v="           "/>
    <s v="           "/>
  </r>
  <r>
    <x v="25"/>
    <n v="1"/>
    <x v="5"/>
    <s v="           "/>
    <s v="Claas 836 rz"/>
    <s v="Plov"/>
    <m/>
    <m/>
    <m/>
    <x v="19"/>
    <s v="           "/>
    <m/>
    <s v="1-0"/>
    <n v="27"/>
    <s v="Kl.græs, s. u.50%kl. udl.eft.å"/>
    <x v="2"/>
    <s v="           "/>
    <s v="           "/>
    <s v="           "/>
  </r>
  <r>
    <x v="26"/>
    <n v="1"/>
    <x v="6"/>
    <s v="           "/>
    <s v="Claas 836 rz"/>
    <s v="Gødningsspreder"/>
    <m/>
    <m/>
    <m/>
    <x v="1"/>
    <s v="           "/>
    <m/>
    <s v="1-0"/>
    <n v="27"/>
    <s v="Kl.græs, s. u.50%kl. udl.eft.å"/>
    <x v="2"/>
    <s v="NS 24- 7 (7,0 S) 500,000 kg/ha, Gødningsudbringning_E 1,000 /ha"/>
    <s v="           "/>
    <s v="           "/>
  </r>
  <r>
    <x v="32"/>
    <n v="1"/>
    <x v="10"/>
    <s v="           "/>
    <s v="Claas 836 rz"/>
    <s v="Tromle"/>
    <m/>
    <m/>
    <m/>
    <x v="20"/>
    <s v="           "/>
    <m/>
    <s v="1-0"/>
    <n v="27"/>
    <s v="Kl.græs, s. u.50%kl. udl.eft.å"/>
    <x v="2"/>
    <s v="           "/>
    <s v="           "/>
    <s v="           "/>
  </r>
  <r>
    <x v="33"/>
    <n v="1"/>
    <x v="3"/>
    <s v="           "/>
    <s v="           "/>
    <s v="           "/>
    <m/>
    <m/>
    <m/>
    <x v="1"/>
    <s v="           "/>
    <m/>
    <s v="1-0"/>
    <n v="27"/>
    <s v="Kl.græs, s. u.50%kl. udl.eft.å"/>
    <x v="2"/>
    <s v="Slæt, maj 3000,000 fe/ha"/>
    <s v="           "/>
    <s v="           "/>
  </r>
  <r>
    <x v="33"/>
    <n v="1"/>
    <x v="1"/>
    <s v="           "/>
    <s v="           "/>
    <s v="           "/>
    <m/>
    <m/>
    <m/>
    <x v="1"/>
    <s v="           "/>
    <m/>
    <s v="1-0"/>
    <n v="27"/>
    <s v="Kl.græs, s. u.50%kl. udl.eft.å"/>
    <x v="2"/>
    <s v="Hjemkørsel_E 0,139 Time/ha"/>
    <s v="           "/>
    <s v="           "/>
  </r>
  <r>
    <x v="11"/>
    <n v="1"/>
    <x v="7"/>
    <s v="           "/>
    <s v="Claas 836 rz"/>
    <s v="           "/>
    <m/>
    <m/>
    <m/>
    <x v="21"/>
    <s v="           "/>
    <m/>
    <s v="1-0"/>
    <n v="27"/>
    <s v="Kl.græs, s. u.50%kl. udl.eft.å"/>
    <x v="2"/>
    <s v="Afgasset gylle 28,000 ton/ha"/>
    <s v="           "/>
    <s v="           "/>
  </r>
  <r>
    <x v="34"/>
    <n v="1"/>
    <x v="6"/>
    <s v="           "/>
    <s v="           "/>
    <s v="           "/>
    <m/>
    <m/>
    <m/>
    <x v="1"/>
    <s v="           "/>
    <m/>
    <s v="1-0"/>
    <n v="27"/>
    <s v="Kl.græs, s. u.50%kl. udl.eft.å"/>
    <x v="2"/>
    <s v="NS 24- 7 (7,0 S) 200,000 kg/ha"/>
    <s v="           "/>
    <s v="           "/>
  </r>
  <r>
    <x v="35"/>
    <n v="1"/>
    <x v="11"/>
    <s v="           "/>
    <s v="Claas 836 mf"/>
    <s v="Vandingsmaskine"/>
    <m/>
    <m/>
    <m/>
    <x v="22"/>
    <s v="           "/>
    <m/>
    <s v="1-0"/>
    <n v="27"/>
    <s v="Kl.græs, s. u.50%kl. udl.eft.å"/>
    <x v="2"/>
    <s v="Vanding_E 35,000 mm/ha"/>
    <s v="           "/>
    <s v="           "/>
  </r>
  <r>
    <x v="13"/>
    <n v="1"/>
    <x v="3"/>
    <s v="           "/>
    <s v="           "/>
    <s v="           "/>
    <m/>
    <m/>
    <m/>
    <x v="1"/>
    <s v="           "/>
    <m/>
    <s v="1-0"/>
    <n v="27"/>
    <s v="Kl.græs, s. u.50%kl. udl.eft.å"/>
    <x v="2"/>
    <s v="Slæt, juli 1800,000 fe/ha"/>
    <s v="           "/>
    <s v="           "/>
  </r>
  <r>
    <x v="36"/>
    <n v="1"/>
    <x v="11"/>
    <s v="           "/>
    <s v="Claas 836 mf"/>
    <s v="Vandingsmaskine"/>
    <m/>
    <m/>
    <m/>
    <x v="22"/>
    <s v="           "/>
    <m/>
    <s v="1-0"/>
    <n v="27"/>
    <s v="Kl.græs, s. u.50%kl. udl.eft.å"/>
    <x v="2"/>
    <s v="Vanding_E 35,000 mm/ha"/>
    <s v="           "/>
    <s v="           "/>
  </r>
  <r>
    <x v="37"/>
    <n v="1"/>
    <x v="11"/>
    <s v="           "/>
    <s v="Claas 836 mf"/>
    <s v="Vandingsmaskine"/>
    <m/>
    <m/>
    <m/>
    <x v="22"/>
    <s v="           "/>
    <m/>
    <s v="1-0"/>
    <n v="27"/>
    <s v="Kl.græs, s. u.50%kl. udl.eft.å"/>
    <x v="2"/>
    <s v="Vanding_E 35,000 mm/ha"/>
    <s v="           "/>
    <s v="           "/>
  </r>
  <r>
    <x v="19"/>
    <n v="1"/>
    <x v="8"/>
    <s v="           "/>
    <s v="Claas 836 mf"/>
    <s v="Græsvogn"/>
    <m/>
    <m/>
    <m/>
    <x v="23"/>
    <s v="           "/>
    <m/>
    <s v="1-0"/>
    <n v="27"/>
    <s v="Kl.græs, s. u.50%kl. udl.eft.å"/>
    <x v="2"/>
    <s v="Hjemkørsel_E 0,100 Time/ha"/>
    <s v="           "/>
    <s v="           "/>
  </r>
  <r>
    <x v="19"/>
    <n v="1"/>
    <x v="3"/>
    <s v="           "/>
    <s v="           "/>
    <s v="           "/>
    <m/>
    <m/>
    <m/>
    <x v="1"/>
    <s v="           "/>
    <m/>
    <s v="1-0"/>
    <n v="27"/>
    <s v="Kl.græs, s. u.50%kl. udl.eft.å"/>
    <x v="2"/>
    <s v="Slæt, august 1500,000 fe/ha"/>
    <s v="           "/>
    <s v="           "/>
  </r>
  <r>
    <x v="38"/>
    <n v="0"/>
    <x v="3"/>
    <s v="           "/>
    <s v="           "/>
    <s v="           "/>
    <m/>
    <m/>
    <m/>
    <x v="1"/>
    <s v="           "/>
    <m/>
    <s v="1-0"/>
    <n v="27"/>
    <s v="Kl.græs, s. u.50%kl. udl.eft.å"/>
    <x v="2"/>
    <s v="Slæt, oktober 1200,000 fe/ha"/>
    <s v="           "/>
    <s v="           "/>
  </r>
  <r>
    <x v="39"/>
    <n v="0"/>
    <x v="3"/>
    <s v="           "/>
    <s v="           "/>
    <s v="           "/>
    <m/>
    <m/>
    <m/>
    <x v="1"/>
    <s v="           "/>
    <m/>
    <s v="27-0"/>
    <n v="1.6"/>
    <s v="Miljøgræs, MVJ-ordning, 0N"/>
    <x v="3"/>
    <s v="Afgræsning, netto 800,000 fe/ha"/>
    <s v="           "/>
    <s v="           "/>
  </r>
  <r>
    <x v="40"/>
    <n v="0"/>
    <x v="3"/>
    <s v="           "/>
    <s v="           "/>
    <s v="           "/>
    <m/>
    <m/>
    <m/>
    <x v="1"/>
    <s v="           "/>
    <m/>
    <s v="27-0"/>
    <n v="1.6"/>
    <s v="Miljøgræs, MVJ-ordning, 0N"/>
    <x v="3"/>
    <s v="Tilskud MVJ 1,000 /ha"/>
    <s v="           "/>
    <s v="           "/>
  </r>
  <r>
    <x v="41"/>
    <n v="0"/>
    <x v="4"/>
    <s v="           "/>
    <s v="           "/>
    <s v="           "/>
    <m/>
    <m/>
    <m/>
    <x v="1"/>
    <s v="           "/>
    <m/>
    <s v="9-0"/>
    <n v="3.83"/>
    <s v="Pl. e.afg græs(nedm.)udl.forår"/>
    <x v="2"/>
    <s v="Foxtrot 7,000 kg      /ha, Radsåning_E 1,000 /ha"/>
    <s v="           "/>
    <s v="           "/>
  </r>
  <r>
    <x v="42"/>
    <n v="0"/>
    <x v="3"/>
    <s v="           "/>
    <s v="           "/>
    <s v="           "/>
    <m/>
    <m/>
    <m/>
    <x v="1"/>
    <s v="           "/>
    <m/>
    <s v="9-0"/>
    <n v="3.83"/>
    <s v="Pl. e.afg græs(nedm.)udl.forår"/>
    <x v="2"/>
    <s v="Grønmasse 5,000 ton/ha"/>
    <s v="           "/>
    <s v="           "/>
  </r>
  <r>
    <x v="0"/>
    <n v="1"/>
    <x v="7"/>
    <s v="           "/>
    <s v="Claas 836 rz"/>
    <s v="Gyllevogn"/>
    <m/>
    <m/>
    <m/>
    <x v="24"/>
    <s v="           "/>
    <m/>
    <s v="10-0"/>
    <n v="15.2"/>
    <s v="Rent græs, s"/>
    <x v="2"/>
    <s v="Afgasset gylle 27,000 ton/ha"/>
    <s v="           "/>
    <s v="           "/>
  </r>
  <r>
    <x v="43"/>
    <n v="1"/>
    <x v="7"/>
    <s v="           "/>
    <s v="Claas 836 rz"/>
    <s v="Gyllevogn"/>
    <m/>
    <m/>
    <m/>
    <x v="25"/>
    <s v="           "/>
    <m/>
    <s v="22-0"/>
    <n v="14.85"/>
    <s v="Rent græs, s"/>
    <x v="2"/>
    <s v="Afgasset gylle 31,000 ton/ha"/>
    <s v="           "/>
    <s v="           "/>
  </r>
  <r>
    <x v="26"/>
    <n v="1"/>
    <x v="6"/>
    <s v="           "/>
    <s v="Claas 836 rz"/>
    <s v="Gødningsspreder"/>
    <m/>
    <m/>
    <m/>
    <x v="4"/>
    <s v="           "/>
    <m/>
    <s v="22-0"/>
    <n v="14.85"/>
    <s v="Rent græs, s"/>
    <x v="2"/>
    <s v="NS 24- 7 (7,0 S) 250,000 kg/ha, Gødningsudbringning_E 1,000 /ha"/>
    <s v="           "/>
    <s v="           "/>
  </r>
  <r>
    <x v="44"/>
    <n v="1"/>
    <x v="6"/>
    <s v="           "/>
    <s v="Lejet traktor"/>
    <s v="Gødningsspreder"/>
    <m/>
    <m/>
    <m/>
    <x v="20"/>
    <s v="           "/>
    <m/>
    <s v="10-0"/>
    <n v="15.2"/>
    <s v="Rent græs, s"/>
    <x v="2"/>
    <s v="NS 24- 7 (7,0 S) 200,000 kg/ha, Gødningsudbringning_E 1,000 /ha"/>
    <s v="           "/>
    <s v="           "/>
  </r>
  <r>
    <x v="32"/>
    <n v="1"/>
    <x v="10"/>
    <s v="           "/>
    <s v="Claas 836 rz"/>
    <s v="Tromle"/>
    <m/>
    <m/>
    <m/>
    <x v="23"/>
    <s v="           "/>
    <m/>
    <s v="10-0"/>
    <n v="15.2"/>
    <s v="Rent græs, s"/>
    <x v="2"/>
    <s v="           "/>
    <s v="           "/>
    <s v="           "/>
  </r>
  <r>
    <x v="45"/>
    <n v="1"/>
    <x v="6"/>
    <s v="           "/>
    <s v="           "/>
    <s v="           "/>
    <m/>
    <m/>
    <m/>
    <x v="1"/>
    <s v="           "/>
    <m/>
    <s v="10-0, 22-0"/>
    <n v="30.05"/>
    <s v="Rent græs, s"/>
    <x v="2"/>
    <s v="NS 24- 7 (7,0 S) 375,000 kg/ha, Gødningsudbringning_E 1,000 /ha"/>
    <s v="           "/>
    <s v="           "/>
  </r>
  <r>
    <x v="1"/>
    <n v="1"/>
    <x v="10"/>
    <s v="           "/>
    <s v="Claas 836 rz"/>
    <s v="Gyllevogn"/>
    <m/>
    <m/>
    <m/>
    <x v="23"/>
    <s v="           "/>
    <m/>
    <s v="22-0"/>
    <n v="14.85"/>
    <s v="Rent græs, s"/>
    <x v="2"/>
    <s v="           "/>
    <s v="           "/>
    <s v="           "/>
  </r>
  <r>
    <x v="46"/>
    <n v="0"/>
    <x v="3"/>
    <s v="           "/>
    <s v="           "/>
    <s v="           "/>
    <m/>
    <m/>
    <m/>
    <x v="1"/>
    <s v="           "/>
    <m/>
    <s v="10-0, 22-0"/>
    <n v="30.05"/>
    <s v="Rent græs, s"/>
    <x v="2"/>
    <s v="Slæt, maj 3000,000 fe/ha"/>
    <s v="           "/>
    <s v="           "/>
  </r>
  <r>
    <x v="10"/>
    <n v="1"/>
    <x v="3"/>
    <s v="           "/>
    <s v="           "/>
    <s v="           "/>
    <m/>
    <m/>
    <m/>
    <x v="1"/>
    <s v="           "/>
    <m/>
    <s v="22-0"/>
    <n v="14.85"/>
    <s v="Rent græs, s"/>
    <x v="2"/>
    <s v="Spredning/sammenrivning_E 1,000 /ha"/>
    <s v="           "/>
    <s v="           "/>
  </r>
  <r>
    <x v="33"/>
    <n v="1"/>
    <x v="3"/>
    <s v="           "/>
    <s v="           "/>
    <s v="           "/>
    <m/>
    <m/>
    <m/>
    <x v="1"/>
    <s v="           "/>
    <m/>
    <s v="22-0"/>
    <n v="14.85"/>
    <s v="Rent græs, s"/>
    <x v="2"/>
    <s v="Hjemkørsel_E 0,135 Time/ha"/>
    <s v="           "/>
    <s v="           "/>
  </r>
  <r>
    <x v="33"/>
    <n v="1"/>
    <x v="3"/>
    <s v="           "/>
    <s v="           "/>
    <s v="           "/>
    <m/>
    <m/>
    <m/>
    <x v="1"/>
    <s v="           "/>
    <m/>
    <s v="10-0"/>
    <n v="15.2"/>
    <s v="Rent græs, s"/>
    <x v="2"/>
    <s v="Hjemkørsel_E 0,164 Time/ha"/>
    <s v="           "/>
    <s v="           "/>
  </r>
  <r>
    <x v="34"/>
    <n v="1"/>
    <x v="6"/>
    <s v="           "/>
    <s v="           "/>
    <s v="           "/>
    <m/>
    <m/>
    <m/>
    <x v="1"/>
    <s v="           "/>
    <m/>
    <s v="22-0"/>
    <n v="14.85"/>
    <s v="Rent græs, s"/>
    <x v="2"/>
    <s v="NS 24- 7 (7,0 S) 375,000 kg/ha"/>
    <s v="           "/>
    <s v="           "/>
  </r>
  <r>
    <x v="13"/>
    <n v="1"/>
    <x v="3"/>
    <s v="           "/>
    <s v="           "/>
    <s v="           "/>
    <m/>
    <m/>
    <m/>
    <x v="1"/>
    <s v="           "/>
    <m/>
    <s v="10-0, 22-0"/>
    <n v="30.05"/>
    <s v="Rent græs, s"/>
    <x v="2"/>
    <s v="Slæt, juli 2000,000 fe/ha"/>
    <s v="           "/>
    <s v="           "/>
  </r>
  <r>
    <x v="36"/>
    <n v="1"/>
    <x v="6"/>
    <s v="           "/>
    <s v="Claas 836 rz"/>
    <s v="Gødningsspreder"/>
    <m/>
    <m/>
    <m/>
    <x v="0"/>
    <s v="           "/>
    <m/>
    <s v="10-0, 22-0"/>
    <n v="30.05"/>
    <s v="Rent græs, s"/>
    <x v="2"/>
    <s v="NS 24- 7 (7,0 S) 100,000 kg/ha"/>
    <s v="           "/>
    <s v="           "/>
  </r>
  <r>
    <x v="19"/>
    <n v="1"/>
    <x v="3"/>
    <s v="           "/>
    <s v="           "/>
    <s v="           "/>
    <m/>
    <m/>
    <m/>
    <x v="1"/>
    <s v="           "/>
    <m/>
    <s v="10-0, 22-0"/>
    <n v="30.05"/>
    <s v="Rent græs, s"/>
    <x v="2"/>
    <s v="Slæt, august 2000,000 fe/ha"/>
    <s v="           "/>
    <s v="           "/>
  </r>
  <r>
    <x v="20"/>
    <n v="1"/>
    <x v="7"/>
    <s v="           "/>
    <s v="Claas 836 rz"/>
    <s v="Gyllevogn"/>
    <m/>
    <m/>
    <m/>
    <x v="25"/>
    <s v="           "/>
    <m/>
    <s v="10-0, 22-0"/>
    <n v="30.05"/>
    <s v="Rent græs, s"/>
    <x v="2"/>
    <s v="Afgasset gylle 16,000 ton/ha, Gødningsudbringning_E 1,000 /ha"/>
    <s v="           "/>
    <s v="           "/>
  </r>
  <r>
    <x v="38"/>
    <n v="0"/>
    <x v="3"/>
    <s v="           "/>
    <s v="           "/>
    <s v="           "/>
    <m/>
    <m/>
    <m/>
    <x v="1"/>
    <s v="           "/>
    <m/>
    <s v="10-0, 22-0"/>
    <n v="30.05"/>
    <s v="Rent græs, s"/>
    <x v="2"/>
    <s v="Slæt, oktober 1500,000 fe/ha"/>
    <s v="           "/>
    <s v="           "/>
  </r>
  <r>
    <x v="10"/>
    <n v="1"/>
    <x v="12"/>
    <s v="           "/>
    <s v="Claas 836 rz"/>
    <s v="           "/>
    <m/>
    <m/>
    <m/>
    <x v="25"/>
    <s v="           "/>
    <m/>
    <s v="1-0, 10-0, 22-0"/>
    <n v="57.05"/>
    <s v="Rent græs, s, Kl.græs, s. u.50%kl. udl.eft.å"/>
    <x v="2"/>
    <s v="           "/>
    <s v="           "/>
    <s v="           "/>
  </r>
  <r>
    <x v="10"/>
    <n v="1"/>
    <x v="1"/>
    <s v="           "/>
    <s v="           "/>
    <s v="           "/>
    <m/>
    <m/>
    <m/>
    <x v="1"/>
    <s v="           "/>
    <m/>
    <s v="1-0, 10-0"/>
    <n v="42.2"/>
    <s v="Rent græs, s, Kl.græs, s. u.50%kl. udl.eft.å"/>
    <x v="2"/>
    <s v="Spredning/sammenrivning_E 1,000 /ha"/>
    <s v="           "/>
    <s v="           "/>
  </r>
  <r>
    <x v="10"/>
    <n v="1"/>
    <x v="13"/>
    <s v="           "/>
    <s v="Claas 836 rz"/>
    <s v="           "/>
    <m/>
    <m/>
    <m/>
    <x v="26"/>
    <s v="           "/>
    <m/>
    <s v="1-0, 10-0, 22-0"/>
    <n v="57.05"/>
    <s v="Rent græs, s, Kl.græs, s. u.50%kl. udl.eft.å"/>
    <x v="2"/>
    <s v="Skårlægning, slåmaskine_M 1,000 /ha"/>
    <s v="           "/>
    <s v="           "/>
  </r>
  <r>
    <x v="33"/>
    <n v="1"/>
    <x v="1"/>
    <s v="           "/>
    <s v="           "/>
    <s v="           "/>
    <m/>
    <m/>
    <m/>
    <x v="1"/>
    <s v="           "/>
    <m/>
    <s v="1-0, 10-0, 22-0"/>
    <n v="57.05"/>
    <s v="Rent græs, s, Kl.græs, s. u.50%kl. udl.eft.å"/>
    <x v="2"/>
    <s v="Finsnitning, græs_M 1,000 /ha, Hjemkørsel_M 0,500 Time/ha, Indlægning i plansilo_M 0,250 Time/ha"/>
    <s v="           "/>
    <s v="           "/>
  </r>
  <r>
    <x v="33"/>
    <n v="1"/>
    <x v="9"/>
    <s v="           "/>
    <s v="Claas 836 rz"/>
    <s v="           "/>
    <m/>
    <m/>
    <m/>
    <x v="27"/>
    <s v="           "/>
    <m/>
    <s v="1-0, 10-0, 22-0"/>
    <n v="57.05"/>
    <s v="Rent græs, s, Kl.græs, s. u.50%kl. udl.eft.å"/>
    <x v="2"/>
    <s v="           "/>
    <s v="           "/>
    <s v="           "/>
  </r>
  <r>
    <x v="34"/>
    <n v="1"/>
    <x v="6"/>
    <s v="           "/>
    <s v="Claas 836 mf"/>
    <s v="Gødningsspreder"/>
    <m/>
    <m/>
    <m/>
    <x v="0"/>
    <s v="           "/>
    <m/>
    <s v="1-0, 22-0"/>
    <n v="41.85"/>
    <s v="Rent græs, s, Kl.græs, s. u.50%kl. udl.eft.å"/>
    <x v="2"/>
    <s v="           "/>
    <s v="           "/>
    <s v="           "/>
  </r>
  <r>
    <x v="47"/>
    <n v="1"/>
    <x v="1"/>
    <s v="           "/>
    <s v="           "/>
    <s v="           "/>
    <m/>
    <m/>
    <m/>
    <x v="1"/>
    <s v="           "/>
    <m/>
    <s v="1-0, 10-0, 22-0"/>
    <n v="57.05"/>
    <s v="Rent græs, s, Kl.græs, s. u.50%kl. udl.eft.å"/>
    <x v="2"/>
    <s v="Skårlægning, skiveslåmaskine_M 1,000 /ha"/>
    <s v="           "/>
    <s v="           "/>
  </r>
  <r>
    <x v="13"/>
    <n v="1"/>
    <x v="1"/>
    <s v="           "/>
    <s v="           "/>
    <s v="           "/>
    <m/>
    <m/>
    <m/>
    <x v="1"/>
    <s v="           "/>
    <m/>
    <s v="1-0, 10-0, 22-0"/>
    <n v="57.05"/>
    <s v="Rent græs, s, Kl.græs, s. u.50%kl. udl.eft.å"/>
    <x v="2"/>
    <s v="Finsnitning, græs_M 1,000 /ha, Indlægning i plansilo_E 0,250 Time/ha, Hjemkørsel_M 0,500 Time/ha"/>
    <s v="           "/>
    <s v="           "/>
  </r>
  <r>
    <x v="48"/>
    <n v="0"/>
    <x v="7"/>
    <s v="           "/>
    <s v="           "/>
    <s v="           "/>
    <m/>
    <m/>
    <m/>
    <x v="1"/>
    <s v="           "/>
    <m/>
    <s v="1-0, 10-0, 22-0"/>
    <n v="57.05"/>
    <s v="Rent græs, s, Kl.græs, s. u.50%kl. udl.eft.å"/>
    <x v="2"/>
    <s v="Afgasset gylle 20,000 ton/ha"/>
    <s v="           "/>
    <s v="           "/>
  </r>
  <r>
    <x v="49"/>
    <n v="1"/>
    <x v="3"/>
    <s v="           "/>
    <s v="           "/>
    <s v="           "/>
    <m/>
    <m/>
    <m/>
    <x v="1"/>
    <s v="           "/>
    <m/>
    <s v="1-0, 10-0, 22-0"/>
    <n v="57.05"/>
    <s v="Rent græs, s, Kl.græs, s. u.50%kl. udl.eft.å"/>
    <x v="2"/>
    <s v="Skårlægning, skiveslåmaskine_M 1,000 /ha"/>
    <s v="           "/>
    <s v="           "/>
  </r>
  <r>
    <x v="19"/>
    <n v="1"/>
    <x v="3"/>
    <s v="           "/>
    <s v="           "/>
    <s v="           "/>
    <m/>
    <m/>
    <m/>
    <x v="1"/>
    <s v="           "/>
    <m/>
    <s v="1-0, 10-0"/>
    <n v="42.2"/>
    <s v="Rent græs, s, Kl.græs, s. u.50%kl. udl.eft.å"/>
    <x v="2"/>
    <s v="Spredning/sammenrivning_E 1,000 /ha"/>
    <s v="           "/>
    <s v="           "/>
  </r>
  <r>
    <x v="19"/>
    <n v="1"/>
    <x v="13"/>
    <s v="           "/>
    <s v="Claas 836 rz"/>
    <s v="Græsrive"/>
    <m/>
    <m/>
    <m/>
    <x v="28"/>
    <s v="           "/>
    <m/>
    <s v="1-0, 10-0, 22-0"/>
    <n v="57.05"/>
    <s v="Rent græs, s, Kl.græs, s. u.50%kl. udl.eft.å"/>
    <x v="2"/>
    <s v="Finsnitning, græs_M 1,000 /ha, Indlægning i plansilo_E 0,250 Time/ha, Hjemkørsel_M 0,500 Time/ha"/>
    <s v="           "/>
    <s v="           "/>
  </r>
  <r>
    <x v="50"/>
    <n v="1"/>
    <x v="7"/>
    <s v="           "/>
    <s v="Lejet traktor"/>
    <s v="Gyllevogn"/>
    <m/>
    <m/>
    <m/>
    <x v="0"/>
    <s v="           "/>
    <m/>
    <s v="9-0"/>
    <n v="3.83"/>
    <s v="Silomajs"/>
    <x v="4"/>
    <s v="           "/>
    <s v="           "/>
    <s v="           "/>
  </r>
  <r>
    <x v="51"/>
    <n v="1"/>
    <x v="7"/>
    <s v="           "/>
    <s v="Claas 836 rz"/>
    <s v="Gyllevogn"/>
    <m/>
    <m/>
    <m/>
    <x v="29"/>
    <s v="           "/>
    <m/>
    <s v="15-0, 17-0"/>
    <n v="10.96"/>
    <s v="Silomajs"/>
    <x v="4"/>
    <s v="Afgasset gylle 45,000 ton/ha"/>
    <s v="           "/>
    <s v="           "/>
  </r>
  <r>
    <x v="52"/>
    <n v="0"/>
    <x v="6"/>
    <s v="           "/>
    <s v="           "/>
    <s v="           "/>
    <m/>
    <m/>
    <m/>
    <x v="1"/>
    <s v="           "/>
    <m/>
    <s v="15-0, 17-0, 20-0"/>
    <n v="14.46"/>
    <s v="Silomajs"/>
    <x v="4"/>
    <s v="NPS 20-10- 0- 8 B (m.bl.) DLG 100,000 kg/ha, Gødningsudbringning_E 1,000 /ha"/>
    <s v="           "/>
    <s v="           "/>
  </r>
  <r>
    <x v="53"/>
    <n v="1"/>
    <x v="5"/>
    <s v="           "/>
    <s v="Claas 836 rz"/>
    <s v="Plov"/>
    <m/>
    <m/>
    <m/>
    <x v="30"/>
    <s v="           "/>
    <m/>
    <s v="15-0, 17-0, 20-0"/>
    <n v="14.46"/>
    <s v="Silomajs"/>
    <x v="4"/>
    <s v="           "/>
    <s v="           "/>
    <s v="           "/>
  </r>
  <r>
    <x v="1"/>
    <n v="1"/>
    <x v="5"/>
    <s v="           "/>
    <s v="Claas 836 mf"/>
    <s v="Plov"/>
    <m/>
    <m/>
    <m/>
    <x v="31"/>
    <s v="           "/>
    <m/>
    <s v="9-0"/>
    <n v="3.83"/>
    <s v="Silomajs"/>
    <x v="4"/>
    <s v="Afgasset gylle 49,608 ton/ha"/>
    <s v="           "/>
    <s v="           "/>
  </r>
  <r>
    <x v="54"/>
    <n v="0"/>
    <x v="6"/>
    <s v="           "/>
    <s v="           "/>
    <s v="           "/>
    <m/>
    <m/>
    <m/>
    <x v="1"/>
    <s v="           "/>
    <m/>
    <s v="9-0"/>
    <n v="3.83"/>
    <s v="Silomajs"/>
    <x v="4"/>
    <s v="NPS 20-10- 0- 8 B (m.bl.) DLG 100,000 kg/ha, Gødningsudbringning_E 1,000 /ha"/>
    <s v="           "/>
    <s v="           "/>
  </r>
  <r>
    <x v="5"/>
    <n v="1"/>
    <x v="1"/>
    <s v="           "/>
    <s v="           "/>
    <s v="           "/>
    <m/>
    <m/>
    <m/>
    <x v="1"/>
    <s v="           "/>
    <m/>
    <s v="9-0"/>
    <n v="3.83"/>
    <s v="Silomajs"/>
    <x v="4"/>
    <s v="Tromling_E 1,000 /ha"/>
    <s v="           "/>
    <s v="           "/>
  </r>
  <r>
    <x v="5"/>
    <n v="1"/>
    <x v="14"/>
    <s v="           "/>
    <s v="           "/>
    <s v="           "/>
    <m/>
    <m/>
    <m/>
    <x v="1"/>
    <s v="           "/>
    <m/>
    <s v="15-0, 17-0, 20-0"/>
    <n v="14.46"/>
    <s v="Silomajs"/>
    <x v="4"/>
    <s v="Tromling_E 1,000 /ha"/>
    <s v="           "/>
    <s v="           "/>
  </r>
  <r>
    <x v="5"/>
    <n v="1"/>
    <x v="10"/>
    <s v="           "/>
    <s v="Claas 836 rz"/>
    <s v="Tromle"/>
    <m/>
    <m/>
    <m/>
    <x v="22"/>
    <s v="           "/>
    <m/>
    <s v="9-0, 15-0, 17-0, 20-0"/>
    <n v="18.29"/>
    <s v="Silomajs"/>
    <x v="4"/>
    <s v="           "/>
    <s v="           "/>
    <s v="           "/>
  </r>
  <r>
    <x v="55"/>
    <n v="0"/>
    <x v="0"/>
    <s v="           "/>
    <s v="           "/>
    <s v="           "/>
    <m/>
    <m/>
    <m/>
    <x v="1"/>
    <s v="           "/>
    <m/>
    <s v="9-0, 15-0, 17-0, 20-0"/>
    <n v="18.29"/>
    <s v="Silomajs"/>
    <x v="4"/>
    <s v="Fighter 480 0,400 l/ha, Callisto 0,400 l/ha, Cyperb 100 0,000 l/ha"/>
    <s v="           "/>
    <s v="           "/>
  </r>
  <r>
    <x v="55"/>
    <n v="1"/>
    <x v="4"/>
    <s v="           "/>
    <s v="Claas 836 rz"/>
    <s v="           "/>
    <m/>
    <m/>
    <m/>
    <x v="32"/>
    <s v="           "/>
    <m/>
    <s v="9-0, 15-0, 17-0, 20-0"/>
    <n v="18.29"/>
    <s v="Silomajs"/>
    <x v="4"/>
    <s v="Majssåning_M 1,000 /ha, Beethoven 2,000 Pakn    /ha"/>
    <s v="           "/>
    <s v="           "/>
  </r>
  <r>
    <x v="55"/>
    <n v="1"/>
    <x v="4"/>
    <s v="           "/>
    <s v="           "/>
    <s v="           "/>
    <m/>
    <m/>
    <m/>
    <x v="1"/>
    <s v="           "/>
    <m/>
    <s v="15-0, 17-0, 20-0"/>
    <n v="14.46"/>
    <s v="Silomajs"/>
    <x v="4"/>
    <s v="Majssåning_M 1,000 /ha"/>
    <s v="           "/>
    <s v="           "/>
  </r>
  <r>
    <x v="56"/>
    <n v="0"/>
    <x v="0"/>
    <s v="           "/>
    <s v="           "/>
    <s v="           "/>
    <m/>
    <m/>
    <m/>
    <x v="1"/>
    <s v="           "/>
    <m/>
    <s v="9-0, 15-0, 17-0, 20-0"/>
    <n v="18.29"/>
    <s v="Silomajs"/>
    <x v="4"/>
    <s v="MaisTer 30,000 g/ha, MaisOil 0,400 l/ha, Callisto 0,400 l/ha, Starane 180 s 0,250 l/ha"/>
    <s v="           "/>
    <s v="           "/>
  </r>
  <r>
    <x v="57"/>
    <n v="0"/>
    <x v="0"/>
    <s v="           "/>
    <s v="           "/>
    <s v="           "/>
    <m/>
    <m/>
    <m/>
    <x v="1"/>
    <s v="           "/>
    <m/>
    <s v="9-0, 15-0, 17-0, 20-0"/>
    <n v="18.29"/>
    <s v="Silomajs"/>
    <x v="4"/>
    <s v="Callisto 0,400 l/ha, MaisTer 40,000 g/ha, MaisOil 0,530 l/ha"/>
    <s v="           "/>
    <s v="           "/>
  </r>
  <r>
    <x v="39"/>
    <n v="0"/>
    <x v="3"/>
    <s v="           "/>
    <s v="           "/>
    <s v="           "/>
    <m/>
    <m/>
    <m/>
    <x v="1"/>
    <s v="           "/>
    <m/>
    <s v="9-0, 15-0, 17-0, 20-0"/>
    <n v="18.29"/>
    <s v="Silomajs"/>
    <x v="4"/>
    <s v="Nettoavl 10000,000 fe/ha"/>
    <s v="           "/>
    <s v="           "/>
  </r>
  <r>
    <x v="46"/>
    <n v="0"/>
    <x v="3"/>
    <s v="           "/>
    <s v="           "/>
    <s v="           "/>
    <m/>
    <m/>
    <m/>
    <x v="1"/>
    <s v="           "/>
    <m/>
    <s v="26-0"/>
    <n v="1.9"/>
    <s v="Vedv. græs, a"/>
    <x v="3"/>
    <s v="Afgræsning, maj 1200,000 fe/ha"/>
    <s v="           "/>
    <s v="           "/>
  </r>
  <r>
    <x v="58"/>
    <n v="0"/>
    <x v="3"/>
    <s v="           "/>
    <s v="           "/>
    <s v="           "/>
    <m/>
    <m/>
    <m/>
    <x v="1"/>
    <s v="           "/>
    <m/>
    <s v="26-0"/>
    <n v="1.9"/>
    <s v="Vedv. græs, a"/>
    <x v="3"/>
    <s v="Afgræsning, juni 900,000 fe/ha"/>
    <s v="           "/>
    <s v="           "/>
  </r>
  <r>
    <x v="59"/>
    <n v="0"/>
    <x v="3"/>
    <s v="           "/>
    <s v="           "/>
    <s v="           "/>
    <m/>
    <m/>
    <m/>
    <x v="1"/>
    <s v="           "/>
    <m/>
    <s v="26-0"/>
    <n v="1.9"/>
    <s v="Vedv. græs, a"/>
    <x v="3"/>
    <s v="Afgræsning, september 900,000 fe/ha"/>
    <s v="           "/>
    <s v="           "/>
  </r>
  <r>
    <x v="25"/>
    <n v="1"/>
    <x v="4"/>
    <s v="           "/>
    <s v="Claas 836 mf"/>
    <s v="Kombi såmask."/>
    <m/>
    <m/>
    <m/>
    <x v="33"/>
    <s v="           "/>
    <m/>
    <s v="30-0"/>
    <n v="29.04"/>
    <s v="Vinterhvede"/>
    <x v="1"/>
    <s v="           "/>
    <s v="           "/>
    <s v="           "/>
  </r>
  <r>
    <x v="25"/>
    <n v="1"/>
    <x v="5"/>
    <s v="           "/>
    <s v="Claas 836 rz"/>
    <s v="Plov"/>
    <m/>
    <m/>
    <m/>
    <x v="34"/>
    <s v="           "/>
    <m/>
    <s v="30-0"/>
    <n v="29.04"/>
    <s v="Vinterhvede"/>
    <x v="1"/>
    <s v="           "/>
    <s v="           "/>
    <s v="           "/>
  </r>
  <r>
    <x v="26"/>
    <n v="0"/>
    <x v="0"/>
    <s v="           "/>
    <s v="           "/>
    <s v="           "/>
    <m/>
    <m/>
    <m/>
    <x v="1"/>
    <s v="           "/>
    <m/>
    <s v="30-0"/>
    <n v="29.04"/>
    <s v="Vinterhvede"/>
    <x v="1"/>
    <s v="Atlantis OD 0,000 l/ha"/>
    <s v="           "/>
    <s v="           "/>
  </r>
  <r>
    <x v="44"/>
    <n v="1"/>
    <x v="6"/>
    <s v="           "/>
    <s v="Claas 836 rz"/>
    <s v="Gødningsspreder"/>
    <m/>
    <m/>
    <m/>
    <x v="23"/>
    <s v="           "/>
    <m/>
    <s v="30-0"/>
    <n v="29.04"/>
    <s v="Vinterhvede"/>
    <x v="1"/>
    <s v="NS 24- 7 (7,0 S) 200,000 kg/ha, Gødningsudbringning_E 1,000 /ha"/>
    <s v="           "/>
    <s v="           "/>
  </r>
  <r>
    <x v="1"/>
    <n v="1"/>
    <x v="7"/>
    <s v="           "/>
    <s v="Claas 836 rz"/>
    <s v="Gyllevogn"/>
    <m/>
    <m/>
    <m/>
    <x v="35"/>
    <s v="           "/>
    <m/>
    <s v="30-0"/>
    <n v="29.04"/>
    <s v="Vinterhvede"/>
    <x v="1"/>
    <s v="           "/>
    <s v="           "/>
    <s v="           "/>
  </r>
  <r>
    <x v="23"/>
    <n v="0"/>
    <x v="3"/>
    <s v="           "/>
    <s v="           "/>
    <s v="           "/>
    <m/>
    <m/>
    <m/>
    <x v="1"/>
    <s v="           "/>
    <m/>
    <s v="30-0"/>
    <n v="29.04"/>
    <s v="Vinterhvede"/>
    <x v="1"/>
    <s v="Kerne 75,000 hkg/ha"/>
    <s v="           "/>
    <s v="           "/>
  </r>
  <r>
    <x v="31"/>
    <n v="0"/>
    <x v="3"/>
    <s v="           "/>
    <s v="           "/>
    <s v="           "/>
    <m/>
    <m/>
    <m/>
    <x v="1"/>
    <s v="           "/>
    <m/>
    <s v="30-0"/>
    <n v="29.04"/>
    <s v="Vinterhvede"/>
    <x v="1"/>
    <s v="Halm 3,000 ton/ha"/>
    <s v="           "/>
    <s v="           "/>
  </r>
  <r>
    <x v="25"/>
    <n v="1"/>
    <x v="0"/>
    <s v="           "/>
    <s v="Claas 836 mf"/>
    <s v="Sprøjte"/>
    <m/>
    <m/>
    <m/>
    <x v="36"/>
    <s v="           "/>
    <m/>
    <s v="25-0, 30-0"/>
    <n v="65.739999999999995"/>
    <s v="Vinterhvede, Helsæd, vinterhvede"/>
    <x v="1"/>
    <s v="Opera 0,200 l/ha, Opus 0,150 l/ha, Proline EC 250 0,200 l/ha"/>
    <s v="           "/>
    <s v="           "/>
  </r>
  <r>
    <x v="44"/>
    <n v="0"/>
    <x v="0"/>
    <s v="           "/>
    <s v="           "/>
    <s v="           "/>
    <m/>
    <m/>
    <m/>
    <x v="1"/>
    <s v="           "/>
    <m/>
    <s v="25-0, 30-0"/>
    <n v="65.739999999999995"/>
    <s v="Vinterhvede, Helsæd, vinterhvede"/>
    <x v="1"/>
    <s v="Mangansulfat, 27% 2,500 kg/ha, Sprede-klæbemiddel 0,100 l/ha"/>
    <s v="           "/>
    <s v="           "/>
  </r>
  <r>
    <x v="27"/>
    <n v="0"/>
    <x v="0"/>
    <s v="           "/>
    <s v="           "/>
    <s v="           "/>
    <m/>
    <m/>
    <m/>
    <x v="1"/>
    <s v="           "/>
    <m/>
    <s v="25-0, 30-0"/>
    <n v="65.739999999999995"/>
    <s v="Vinterhvede, Helsæd, vinterhvede"/>
    <x v="1"/>
    <s v="Ally ST 0,250 Tab./ha, Sprede-klæbemiddel 0,100 l/ha"/>
    <s v="           "/>
    <s v="           "/>
  </r>
  <r>
    <x v="60"/>
    <n v="0"/>
    <x v="0"/>
    <s v="           "/>
    <s v="           "/>
    <s v="           "/>
    <m/>
    <m/>
    <m/>
    <x v="1"/>
    <s v="           "/>
    <m/>
    <s v="25-0, 30-0"/>
    <n v="65.739999999999995"/>
    <s v="Vinterhvede, Helsæd, vinterhvede"/>
    <x v="1"/>
    <s v="Hussar OD 0,000 l/ha"/>
    <s v="           "/>
    <s v="           "/>
  </r>
  <r>
    <x v="55"/>
    <n v="0"/>
    <x v="0"/>
    <s v="           "/>
    <s v="Claas 836 mf"/>
    <s v="Sprøjte"/>
    <m/>
    <m/>
    <m/>
    <x v="24"/>
    <s v="           "/>
    <m/>
    <s v="25-0, 30-0"/>
    <n v="65.739999999999995"/>
    <s v="Vinterhvede, Helsæd, vinterhvede"/>
    <x v="1"/>
    <s v="Monitor 0,000 g/ha"/>
    <s v="           "/>
    <s v="           "/>
  </r>
  <r>
    <x v="56"/>
    <n v="0"/>
    <x v="0"/>
    <s v="           "/>
    <s v="           "/>
    <s v="           "/>
    <m/>
    <m/>
    <m/>
    <x v="1"/>
    <s v="           "/>
    <m/>
    <s v="25-0, 30-0"/>
    <n v="65.739999999999995"/>
    <s v="Vinterhvede, Helsæd, vinterhvede"/>
    <x v="1"/>
    <s v="Flexity 0,000 l/ha"/>
    <s v="           "/>
    <s v="           "/>
  </r>
  <r>
    <x v="26"/>
    <n v="1"/>
    <x v="7"/>
    <s v="           "/>
    <s v="Claas 836 mf"/>
    <s v="Gødningsspreder"/>
    <m/>
    <m/>
    <m/>
    <x v="15"/>
    <s v="           "/>
    <m/>
    <s v="31-0"/>
    <n v="3.79"/>
    <s v="Vårbyg"/>
    <x v="1"/>
    <s v="NS 24- 7 (7,0 S) 530,000 kg/ha, Gødningsudbringning_E 1,000 /ha"/>
    <s v="           "/>
    <s v="           "/>
  </r>
  <r>
    <x v="61"/>
    <n v="1"/>
    <x v="5"/>
    <s v="           "/>
    <s v="Claas 836 mf"/>
    <s v="Plov"/>
    <m/>
    <m/>
    <m/>
    <x v="15"/>
    <s v="           "/>
    <m/>
    <s v="31-0"/>
    <n v="3.79"/>
    <s v="Vårbyg"/>
    <x v="1"/>
    <s v="           "/>
    <s v="           "/>
    <s v="           "/>
  </r>
  <r>
    <x v="61"/>
    <n v="1"/>
    <x v="7"/>
    <s v="           "/>
    <s v="           "/>
    <s v="           "/>
    <m/>
    <m/>
    <m/>
    <x v="1"/>
    <s v="           "/>
    <m/>
    <s v="31-0"/>
    <n v="3.79"/>
    <s v="Vårbyg"/>
    <x v="1"/>
    <s v="Afgasset gylle 28,000 ton/ha"/>
    <s v="           "/>
    <s v="           "/>
  </r>
  <r>
    <x v="62"/>
    <n v="1"/>
    <x v="4"/>
    <s v="           "/>
    <s v="Claas 836 rz"/>
    <s v="Kombi såmask."/>
    <m/>
    <m/>
    <m/>
    <x v="8"/>
    <s v="           "/>
    <m/>
    <s v="31-0"/>
    <n v="3.79"/>
    <s v="Vårbyg"/>
    <x v="1"/>
    <s v="           "/>
    <s v="           "/>
    <s v="           "/>
  </r>
  <r>
    <x v="23"/>
    <n v="0"/>
    <x v="3"/>
    <s v="           "/>
    <s v="           "/>
    <s v="           "/>
    <m/>
    <m/>
    <m/>
    <x v="1"/>
    <s v="           "/>
    <m/>
    <s v="31-0"/>
    <n v="3.79"/>
    <s v="Vårbyg"/>
    <x v="1"/>
    <s v="Kerne 50,000 hkg/ha"/>
    <s v="           "/>
    <s v="           "/>
  </r>
  <r>
    <x v="31"/>
    <n v="0"/>
    <x v="3"/>
    <s v="           "/>
    <s v="           "/>
    <s v="           "/>
    <m/>
    <m/>
    <m/>
    <x v="1"/>
    <s v="           "/>
    <m/>
    <s v="31-0"/>
    <n v="3.79"/>
    <s v="Vårbyg"/>
    <x v="1"/>
    <s v="Halm 2,500 ton/ha"/>
    <s v="           "/>
    <s v="           "/>
  </r>
  <r>
    <x v="61"/>
    <n v="1"/>
    <x v="7"/>
    <s v="           "/>
    <s v="Lejet traktor"/>
    <s v="Gyllevogn"/>
    <m/>
    <m/>
    <m/>
    <x v="4"/>
    <s v="           "/>
    <m/>
    <s v="7-0"/>
    <n v="5.46"/>
    <s v="Vårbyg m. kløverudlæg"/>
    <x v="1"/>
    <s v="Afgasset gylle 28,000 ton/ha"/>
    <s v="           "/>
    <s v="           "/>
  </r>
  <r>
    <x v="62"/>
    <n v="1"/>
    <x v="5"/>
    <s v="           "/>
    <s v="Claas 836 rz"/>
    <s v="Plov"/>
    <m/>
    <m/>
    <m/>
    <x v="20"/>
    <s v="           "/>
    <m/>
    <s v="7-0"/>
    <n v="5.46"/>
    <s v="Vårbyg m. kløverudlæg"/>
    <x v="1"/>
    <s v="           "/>
    <s v="           "/>
    <s v="           "/>
  </r>
  <r>
    <x v="63"/>
    <n v="1"/>
    <x v="4"/>
    <s v="           "/>
    <s v="Claas 836 rz"/>
    <s v="Kombi såmask."/>
    <m/>
    <m/>
    <m/>
    <x v="20"/>
    <s v="           "/>
    <m/>
    <s v="7-0"/>
    <n v="5.46"/>
    <s v="Vårbyg m. kløverudlæg"/>
    <x v="1"/>
    <s v="           "/>
    <s v="           "/>
    <s v="           "/>
  </r>
  <r>
    <x v="27"/>
    <n v="1"/>
    <x v="6"/>
    <s v="           "/>
    <s v="Claas 836 mf"/>
    <s v="Gødningsspreder"/>
    <m/>
    <m/>
    <m/>
    <x v="23"/>
    <s v="           "/>
    <m/>
    <s v="7-0"/>
    <n v="5.46"/>
    <s v="Vårbyg m. kløverudlæg"/>
    <x v="1"/>
    <s v="NS 24- 7 (7,0 S) 160,000 kg/ha, Gødningsudbringning_E 1,000 /ha"/>
    <s v="           "/>
    <s v="           "/>
  </r>
  <r>
    <x v="64"/>
    <n v="1"/>
    <x v="3"/>
    <s v="           "/>
    <s v="           "/>
    <s v="           "/>
    <m/>
    <m/>
    <m/>
    <x v="1"/>
    <s v="           "/>
    <m/>
    <s v="7-0"/>
    <n v="5.46"/>
    <s v="Vårbyg m. kløverudlæg"/>
    <x v="1"/>
    <s v="Mejetærskning, maskinstation_M 1,000 /ha"/>
    <s v="           "/>
    <s v="           "/>
  </r>
  <r>
    <x v="64"/>
    <n v="1"/>
    <x v="15"/>
    <s v="           "/>
    <s v="Claas 836 rz"/>
    <s v="Kornvogn"/>
    <m/>
    <m/>
    <m/>
    <x v="23"/>
    <s v="           "/>
    <m/>
    <s v="7-0"/>
    <n v="5.46"/>
    <s v="Vårbyg m. kløverudlæg"/>
    <x v="1"/>
    <s v="Kerne 50,000 hkg/ha"/>
    <s v="           "/>
    <s v="           "/>
  </r>
  <r>
    <x v="64"/>
    <n v="1"/>
    <x v="16"/>
    <s v="           "/>
    <s v="           "/>
    <s v="Lejet maskine"/>
    <m/>
    <m/>
    <m/>
    <x v="22"/>
    <s v="           "/>
    <m/>
    <s v="7-0"/>
    <n v="5.46"/>
    <s v="Vårbyg m. kløverudlæg"/>
    <x v="1"/>
    <s v="Halm 2,000 ton/ha"/>
    <s v="           "/>
    <s v="           "/>
  </r>
  <r>
    <x v="64"/>
    <n v="1"/>
    <x v="3"/>
    <s v="           "/>
    <s v="           "/>
    <s v="           "/>
    <m/>
    <m/>
    <m/>
    <x v="1"/>
    <s v="           "/>
    <m/>
    <s v="7-0"/>
    <n v="5.46"/>
    <s v="Vårbyg m. kløverudlæg"/>
    <x v="1"/>
    <s v="Hjemkørsel_E 1,000 Time/ha"/>
    <s v="           "/>
    <s v="           "/>
  </r>
  <r>
    <x v="22"/>
    <n v="1"/>
    <x v="1"/>
    <s v="           "/>
    <s v="           "/>
    <s v="           "/>
    <m/>
    <m/>
    <m/>
    <x v="1"/>
    <s v="           "/>
    <m/>
    <s v="7-0"/>
    <n v="5.46"/>
    <s v="Vårbyg m. kløverudlæg"/>
    <x v="1"/>
    <s v="Pløjning_E 1,000 /ha"/>
    <s v="           "/>
    <s v="           "/>
  </r>
  <r>
    <x v="45"/>
    <n v="0"/>
    <x v="0"/>
    <s v="           "/>
    <s v="           "/>
    <s v="           "/>
    <m/>
    <m/>
    <m/>
    <x v="1"/>
    <s v="           "/>
    <m/>
    <s v="7-0, 31-0"/>
    <n v="9.25"/>
    <s v="Vårbyg, Vårbyg m. kløverudlæg"/>
    <x v="1"/>
    <s v="Fighter 480 0,750 l/ha, Sun-Oil 33 E 0,500 l/ha"/>
    <s v="           "/>
    <s v="           "/>
  </r>
  <r>
    <x v="55"/>
    <n v="0"/>
    <x v="0"/>
    <s v="           "/>
    <s v="           "/>
    <s v="           "/>
    <m/>
    <m/>
    <m/>
    <x v="1"/>
    <s v="           "/>
    <m/>
    <s v="7-0, 31-0"/>
    <n v="9.25"/>
    <s v="Vårbyg, Vårbyg m. kløverudlæg"/>
    <x v="1"/>
    <s v="Mangansulfat, 27% 2,500 kg/ha, Sprede-klæbemiddel 0,100 l/ha"/>
    <s v="           "/>
    <s v="           "/>
  </r>
  <r>
    <x v="57"/>
    <n v="0"/>
    <x v="0"/>
    <s v="           "/>
    <s v="           "/>
    <s v="           "/>
    <m/>
    <m/>
    <m/>
    <x v="1"/>
    <s v="           "/>
    <m/>
    <s v="7-0, 31-0"/>
    <n v="9.25"/>
    <s v="Vårbyg, Vårbyg m. kløverudlæg"/>
    <x v="1"/>
    <s v="Amistar 0,100 l/ha, Folicur EC 250 0,200 l/ha"/>
    <s v="           "/>
    <s v="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el3" cacheId="0" applyNumberFormats="0" applyBorderFormats="0" applyFontFormats="0" applyPatternFormats="0" applyAlignmentFormats="0" applyWidthHeightFormats="1" dataCaption="Værdier" updatedVersion="3" minRefreshableVersion="3" showCalcMbrs="0" useAutoFormatting="1" itemPrintTitles="1" createdVersion="3" indent="0" outline="1" outlineData="1" multipleFieldFilters="0">
  <location ref="A3:G15" firstHeaderRow="1" firstDataRow="2" firstDataCol="1" rowPageCount="1" colPageCount="1"/>
  <pivotFields count="17">
    <pivotField axis="axisPage" numFmtId="168" multipleItemSelectionAllowed="1" showAll="0">
      <items count="66">
        <item x="25"/>
        <item x="0"/>
        <item x="43"/>
        <item x="26"/>
        <item x="44"/>
        <item x="50"/>
        <item x="41"/>
        <item x="61"/>
        <item x="51"/>
        <item x="52"/>
        <item x="62"/>
        <item x="63"/>
        <item x="32"/>
        <item x="27"/>
        <item x="28"/>
        <item x="53"/>
        <item x="60"/>
        <item x="45"/>
        <item x="29"/>
        <item x="1"/>
        <item x="2"/>
        <item x="3"/>
        <item x="54"/>
        <item x="4"/>
        <item x="5"/>
        <item x="6"/>
        <item x="55"/>
        <item x="7"/>
        <item x="46"/>
        <item x="56"/>
        <item x="8"/>
        <item x="9"/>
        <item x="10"/>
        <item x="33"/>
        <item x="11"/>
        <item x="34"/>
        <item x="57"/>
        <item x="58"/>
        <item x="35"/>
        <item x="12"/>
        <item h="1" x="47"/>
        <item h="1" x="13"/>
        <item h="1" x="36"/>
        <item h="1" x="14"/>
        <item h="1" x="48"/>
        <item h="1" x="37"/>
        <item h="1" x="30"/>
        <item h="1" x="15"/>
        <item h="1" x="16"/>
        <item h="1" x="17"/>
        <item h="1" x="18"/>
        <item h="1" x="49"/>
        <item h="1" x="19"/>
        <item h="1" x="20"/>
        <item h="1" x="21"/>
        <item h="1" x="64"/>
        <item h="1" x="22"/>
        <item h="1" x="23"/>
        <item h="1" x="31"/>
        <item h="1" x="59"/>
        <item h="1" x="39"/>
        <item h="1" x="38"/>
        <item h="1" x="24"/>
        <item h="1" x="42"/>
        <item h="1" x="40"/>
        <item t="default"/>
      </items>
    </pivotField>
    <pivotField numFmtId="169" showAll="0"/>
    <pivotField showAll="0"/>
    <pivotField showAll="0"/>
    <pivotField showAll="0">
      <items count="5">
        <item x="0"/>
        <item x="1"/>
        <item x="2"/>
        <item x="3"/>
        <item t="default"/>
      </items>
    </pivotField>
    <pivotField axis="axisRow" showAll="0">
      <items count="13">
        <item n="ufordelt" x="0"/>
        <item x="5"/>
        <item x="4"/>
        <item x="2"/>
        <item x="7"/>
        <item x="1"/>
        <item x="10"/>
        <item x="11"/>
        <item x="3"/>
        <item x="9"/>
        <item x="8"/>
        <item x="6"/>
        <item t="default"/>
      </items>
    </pivotField>
    <pivotField showAll="0"/>
    <pivotField showAll="0"/>
    <pivotField showAll="0"/>
    <pivotField dataField="1" showAll="0">
      <items count="38">
        <item x="6"/>
        <item x="7"/>
        <item x="2"/>
        <item x="3"/>
        <item x="10"/>
        <item x="11"/>
        <item x="4"/>
        <item x="9"/>
        <item x="28"/>
        <item x="23"/>
        <item x="8"/>
        <item x="31"/>
        <item x="15"/>
        <item x="0"/>
        <item x="20"/>
        <item x="22"/>
        <item x="25"/>
        <item x="16"/>
        <item x="27"/>
        <item x="17"/>
        <item x="26"/>
        <item x="29"/>
        <item x="5"/>
        <item x="21"/>
        <item x="32"/>
        <item x="33"/>
        <item x="35"/>
        <item x="14"/>
        <item x="30"/>
        <item x="24"/>
        <item x="36"/>
        <item x="18"/>
        <item x="19"/>
        <item x="34"/>
        <item x="12"/>
        <item x="13"/>
        <item x="1"/>
        <item t="default"/>
      </items>
    </pivotField>
    <pivotField showAll="0"/>
    <pivotField showAll="0"/>
    <pivotField showAll="0">
      <items count="22">
        <item x="0"/>
        <item x="3"/>
        <item x="10"/>
        <item x="9"/>
        <item x="11"/>
        <item x="6"/>
        <item x="8"/>
        <item x="12"/>
        <item x="13"/>
        <item x="7"/>
        <item x="2"/>
        <item x="17"/>
        <item x="15"/>
        <item x="4"/>
        <item x="16"/>
        <item x="18"/>
        <item x="19"/>
        <item x="1"/>
        <item x="20"/>
        <item x="5"/>
        <item x="14"/>
        <item t="default"/>
      </items>
    </pivotField>
    <pivotField showAll="0"/>
    <pivotField showAll="0"/>
    <pivotField axis="axisCol" showAll="0">
      <items count="6">
        <item x="3"/>
        <item x="2"/>
        <item x="4"/>
        <item x="1"/>
        <item x="0"/>
        <item t="default"/>
      </items>
    </pivotField>
    <pivotField showAll="0"/>
  </pivotFields>
  <rowFields count="1">
    <field x="5"/>
  </rowFields>
  <rowItems count="11">
    <i>
      <x/>
    </i>
    <i>
      <x v="1"/>
    </i>
    <i>
      <x v="2"/>
    </i>
    <i>
      <x v="3"/>
    </i>
    <i>
      <x v="4"/>
    </i>
    <i>
      <x v="5"/>
    </i>
    <i>
      <x v="8"/>
    </i>
    <i>
      <x v="9"/>
    </i>
    <i>
      <x v="10"/>
    </i>
    <i>
      <x v="11"/>
    </i>
    <i t="grand">
      <x/>
    </i>
  </rowItems>
  <colFields count="1">
    <field x="15"/>
  </colFields>
  <colItems count="6">
    <i>
      <x/>
    </i>
    <i>
      <x v="1"/>
    </i>
    <i>
      <x v="2"/>
    </i>
    <i>
      <x v="3"/>
    </i>
    <i>
      <x v="4"/>
    </i>
    <i t="grand">
      <x/>
    </i>
  </colItems>
  <pageFields count="1">
    <pageField fld="0" hier="-1"/>
  </pageFields>
  <dataFields count="1">
    <dataField name="Sum af Timer" fld="9" baseField="0" baseItem="0"/>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Pivottabel2" cacheId="1" applyNumberFormats="0" applyBorderFormats="0" applyFontFormats="0" applyPatternFormats="0" applyAlignmentFormats="0" applyWidthHeightFormats="1" dataCaption="Værdier" updatedVersion="3" minRefreshableVersion="3" showCalcMbrs="0" useAutoFormatting="1" itemPrintTitles="1" createdVersion="3" indent="0" outline="1" outlineData="1" multipleFieldFilters="0">
  <location ref="A3:B9" firstHeaderRow="1" firstDataRow="1" firstDataCol="1" rowPageCount="1" colPageCount="1"/>
  <pivotFields count="19">
    <pivotField axis="axisPage" numFmtId="168" multipleItemSelectionAllowed="1" showAll="0">
      <items count="66">
        <item x="25"/>
        <item x="0"/>
        <item x="43"/>
        <item x="26"/>
        <item x="44"/>
        <item x="50"/>
        <item x="41"/>
        <item x="61"/>
        <item x="51"/>
        <item x="52"/>
        <item x="62"/>
        <item x="63"/>
        <item x="32"/>
        <item x="27"/>
        <item x="28"/>
        <item x="53"/>
        <item x="60"/>
        <item x="45"/>
        <item x="29"/>
        <item x="1"/>
        <item x="2"/>
        <item x="3"/>
        <item x="54"/>
        <item x="4"/>
        <item x="5"/>
        <item x="6"/>
        <item x="55"/>
        <item x="7"/>
        <item x="46"/>
        <item x="56"/>
        <item x="8"/>
        <item x="9"/>
        <item x="10"/>
        <item x="33"/>
        <item x="11"/>
        <item x="34"/>
        <item x="57"/>
        <item x="58"/>
        <item x="35"/>
        <item x="12"/>
        <item h="1" x="47"/>
        <item h="1" x="13"/>
        <item h="1" x="36"/>
        <item h="1" x="14"/>
        <item h="1" x="48"/>
        <item h="1" x="37"/>
        <item h="1" x="30"/>
        <item h="1" x="15"/>
        <item h="1" x="16"/>
        <item h="1" x="17"/>
        <item h="1" x="18"/>
        <item h="1" x="49"/>
        <item h="1" x="19"/>
        <item h="1" x="20"/>
        <item h="1" x="21"/>
        <item h="1" x="64"/>
        <item h="1" x="22"/>
        <item h="1" x="23"/>
        <item h="1" x="31"/>
        <item h="1" x="59"/>
        <item h="1" x="39"/>
        <item h="1" x="38"/>
        <item h="1" x="24"/>
        <item h="1" x="42"/>
        <item h="1" x="40"/>
        <item t="default"/>
      </items>
    </pivotField>
    <pivotField numFmtId="169" showAll="0"/>
    <pivotField showAll="0">
      <items count="18">
        <item n="Ufordelt" x="1"/>
        <item x="12"/>
        <item x="11"/>
        <item x="9"/>
        <item x="15"/>
        <item x="6"/>
        <item x="3"/>
        <item x="8"/>
        <item x="14"/>
        <item x="7"/>
        <item x="0"/>
        <item x="5"/>
        <item x="13"/>
        <item x="4"/>
        <item x="10"/>
        <item x="16"/>
        <item x="2"/>
        <item t="default"/>
      </items>
    </pivotField>
    <pivotField showAll="0"/>
    <pivotField showAll="0"/>
    <pivotField showAll="0"/>
    <pivotField showAll="0"/>
    <pivotField showAll="0"/>
    <pivotField showAll="0"/>
    <pivotField dataField="1" showAll="0">
      <items count="38">
        <item x="6"/>
        <item x="7"/>
        <item x="2"/>
        <item x="3"/>
        <item x="10"/>
        <item x="11"/>
        <item x="4"/>
        <item x="9"/>
        <item x="28"/>
        <item x="23"/>
        <item x="8"/>
        <item x="31"/>
        <item x="15"/>
        <item x="0"/>
        <item x="20"/>
        <item x="22"/>
        <item x="25"/>
        <item x="16"/>
        <item x="27"/>
        <item x="17"/>
        <item x="26"/>
        <item x="29"/>
        <item x="5"/>
        <item x="21"/>
        <item x="32"/>
        <item x="33"/>
        <item x="35"/>
        <item x="14"/>
        <item x="30"/>
        <item x="24"/>
        <item x="36"/>
        <item x="18"/>
        <item x="19"/>
        <item x="34"/>
        <item x="12"/>
        <item x="13"/>
        <item x="1"/>
        <item t="default"/>
      </items>
    </pivotField>
    <pivotField showAll="0"/>
    <pivotField showAll="0"/>
    <pivotField showAll="0"/>
    <pivotField showAll="0"/>
    <pivotField showAll="0"/>
    <pivotField axis="axisRow" showAll="0">
      <items count="6">
        <item x="3"/>
        <item x="2"/>
        <item x="4"/>
        <item x="1"/>
        <item n="Ufordelt" x="0"/>
        <item t="default"/>
      </items>
    </pivotField>
    <pivotField showAll="0"/>
    <pivotField showAll="0"/>
    <pivotField showAll="0"/>
  </pivotFields>
  <rowFields count="1">
    <field x="15"/>
  </rowFields>
  <rowItems count="6">
    <i>
      <x/>
    </i>
    <i>
      <x v="1"/>
    </i>
    <i>
      <x v="2"/>
    </i>
    <i>
      <x v="3"/>
    </i>
    <i>
      <x v="4"/>
    </i>
    <i t="grand">
      <x/>
    </i>
  </rowItems>
  <colItems count="1">
    <i/>
  </colItems>
  <pageFields count="1">
    <pageField fld="0" hier="-1"/>
  </pageFields>
  <dataFields count="1">
    <dataField name="Sum af Timer" fld="9" baseField="0" baseItem="0"/>
  </data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Pivottabel1" cacheId="0" applyNumberFormats="0" applyBorderFormats="0" applyFontFormats="0" applyPatternFormats="0" applyAlignmentFormats="0" applyWidthHeightFormats="1" dataCaption="Værdier" updatedVersion="3" minRefreshableVersion="3" showCalcMbrs="0" useAutoFormatting="1" itemPrintTitles="1" createdVersion="3" indent="0" outline="1" outlineData="1" multipleFieldFilters="0" rowHeaderCaption=" ">
  <location ref="A3:A22" firstHeaderRow="1" firstDataRow="1" firstDataCol="1" rowPageCount="1" colPageCount="1"/>
  <pivotFields count="17">
    <pivotField axis="axisPage" numFmtId="168" multipleItemSelectionAllowed="1" showAll="0">
      <items count="66">
        <item x="25"/>
        <item x="0"/>
        <item x="43"/>
        <item x="26"/>
        <item x="44"/>
        <item x="50"/>
        <item x="41"/>
        <item x="61"/>
        <item x="51"/>
        <item x="52"/>
        <item x="62"/>
        <item x="63"/>
        <item x="32"/>
        <item x="27"/>
        <item x="28"/>
        <item x="53"/>
        <item x="60"/>
        <item x="45"/>
        <item x="29"/>
        <item x="1"/>
        <item x="2"/>
        <item x="3"/>
        <item x="54"/>
        <item x="4"/>
        <item x="5"/>
        <item x="6"/>
        <item x="55"/>
        <item x="7"/>
        <item x="46"/>
        <item x="56"/>
        <item x="8"/>
        <item x="9"/>
        <item x="10"/>
        <item x="33"/>
        <item x="11"/>
        <item x="34"/>
        <item x="57"/>
        <item x="58"/>
        <item x="35"/>
        <item x="12"/>
        <item x="47"/>
        <item x="13"/>
        <item x="36"/>
        <item x="14"/>
        <item x="48"/>
        <item x="37"/>
        <item x="30"/>
        <item x="15"/>
        <item x="16"/>
        <item x="17"/>
        <item x="18"/>
        <item x="49"/>
        <item x="19"/>
        <item x="20"/>
        <item x="21"/>
        <item x="64"/>
        <item x="22"/>
        <item x="23"/>
        <item x="31"/>
        <item x="59"/>
        <item x="39"/>
        <item x="38"/>
        <item x="24"/>
        <item x="42"/>
        <item x="40"/>
        <item t="default"/>
      </items>
    </pivotField>
    <pivotField numFmtId="169" showAll="0"/>
    <pivotField showAll="0"/>
    <pivotField showAll="0"/>
    <pivotField showAll="0">
      <items count="5">
        <item x="0"/>
        <item x="1"/>
        <item x="2"/>
        <item x="3"/>
        <item t="default"/>
      </items>
    </pivotField>
    <pivotField showAll="0">
      <items count="13">
        <item x="0"/>
        <item x="5"/>
        <item x="4"/>
        <item x="2"/>
        <item x="7"/>
        <item x="1"/>
        <item x="10"/>
        <item x="11"/>
        <item x="3"/>
        <item x="9"/>
        <item x="8"/>
        <item x="6"/>
        <item t="default"/>
      </items>
    </pivotField>
    <pivotField showAll="0"/>
    <pivotField showAll="0"/>
    <pivotField showAll="0"/>
    <pivotField showAll="0">
      <items count="38">
        <item x="6"/>
        <item x="7"/>
        <item x="2"/>
        <item x="3"/>
        <item x="10"/>
        <item x="11"/>
        <item x="4"/>
        <item x="9"/>
        <item x="28"/>
        <item x="23"/>
        <item x="8"/>
        <item x="31"/>
        <item x="15"/>
        <item x="0"/>
        <item x="20"/>
        <item x="22"/>
        <item x="25"/>
        <item x="16"/>
        <item x="27"/>
        <item x="17"/>
        <item x="26"/>
        <item x="29"/>
        <item x="5"/>
        <item x="21"/>
        <item x="32"/>
        <item x="33"/>
        <item x="35"/>
        <item x="14"/>
        <item x="30"/>
        <item x="24"/>
        <item x="36"/>
        <item x="18"/>
        <item x="19"/>
        <item x="34"/>
        <item x="12"/>
        <item x="13"/>
        <item x="1"/>
        <item t="default"/>
      </items>
    </pivotField>
    <pivotField showAll="0"/>
    <pivotField showAll="0"/>
    <pivotField showAll="0">
      <items count="22">
        <item x="0"/>
        <item x="3"/>
        <item x="10"/>
        <item x="9"/>
        <item x="11"/>
        <item x="6"/>
        <item x="8"/>
        <item x="12"/>
        <item x="13"/>
        <item x="7"/>
        <item x="2"/>
        <item x="17"/>
        <item x="15"/>
        <item x="4"/>
        <item x="16"/>
        <item x="18"/>
        <item x="19"/>
        <item x="1"/>
        <item x="20"/>
        <item x="5"/>
        <item x="14"/>
        <item t="default"/>
      </items>
    </pivotField>
    <pivotField showAll="0"/>
    <pivotField axis="axisRow" showAll="0">
      <items count="16">
        <item x="0"/>
        <item x="1"/>
        <item x="2"/>
        <item x="3"/>
        <item x="4"/>
        <item x="5"/>
        <item x="6"/>
        <item x="7"/>
        <item x="8"/>
        <item x="9"/>
        <item x="10"/>
        <item x="11"/>
        <item x="12"/>
        <item x="13"/>
        <item x="14"/>
        <item t="default"/>
      </items>
    </pivotField>
    <pivotField axis="axisRow" showAll="0" sortType="descending">
      <items count="6">
        <item sd="0" x="0"/>
        <item x="1"/>
        <item x="4"/>
        <item x="2"/>
        <item x="3"/>
        <item t="default"/>
      </items>
    </pivotField>
    <pivotField showAll="0">
      <items count="78">
        <item x="0"/>
        <item x="39"/>
        <item x="45"/>
        <item x="27"/>
        <item x="17"/>
        <item x="8"/>
        <item x="28"/>
        <item x="7"/>
        <item x="46"/>
        <item x="48"/>
        <item x="57"/>
        <item x="56"/>
        <item x="1"/>
        <item x="58"/>
        <item x="63"/>
        <item x="76"/>
        <item x="5"/>
        <item x="3"/>
        <item x="54"/>
        <item x="50"/>
        <item x="75"/>
        <item x="42"/>
        <item x="44"/>
        <item x="9"/>
        <item x="66"/>
        <item x="25"/>
        <item x="26"/>
        <item x="72"/>
        <item x="69"/>
        <item x="60"/>
        <item x="21"/>
        <item x="33"/>
        <item x="16"/>
        <item x="34"/>
        <item x="11"/>
        <item x="73"/>
        <item x="64"/>
        <item x="10"/>
        <item x="68"/>
        <item x="59"/>
        <item x="53"/>
        <item x="52"/>
        <item x="51"/>
        <item x="62"/>
        <item x="71"/>
        <item x="65"/>
        <item x="55"/>
        <item x="47"/>
        <item x="37"/>
        <item x="70"/>
        <item x="18"/>
        <item x="30"/>
        <item x="29"/>
        <item x="6"/>
        <item x="35"/>
        <item x="31"/>
        <item x="14"/>
        <item x="67"/>
        <item x="61"/>
        <item x="74"/>
        <item x="13"/>
        <item x="43"/>
        <item x="41"/>
        <item x="22"/>
        <item x="38"/>
        <item x="20"/>
        <item x="36"/>
        <item x="12"/>
        <item x="15"/>
        <item x="23"/>
        <item x="40"/>
        <item x="2"/>
        <item x="32"/>
        <item x="4"/>
        <item x="24"/>
        <item x="49"/>
        <item x="19"/>
        <item t="default"/>
      </items>
    </pivotField>
  </pivotFields>
  <rowFields count="2">
    <field x="15"/>
    <field x="14"/>
  </rowFields>
  <rowItems count="19">
    <i>
      <x/>
    </i>
    <i>
      <x v="1"/>
    </i>
    <i r="1">
      <x v="2"/>
    </i>
    <i r="1">
      <x v="10"/>
    </i>
    <i r="1">
      <x v="11"/>
    </i>
    <i r="1">
      <x v="12"/>
    </i>
    <i r="1">
      <x v="13"/>
    </i>
    <i r="1">
      <x v="14"/>
    </i>
    <i>
      <x v="2"/>
    </i>
    <i r="1">
      <x v="8"/>
    </i>
    <i>
      <x v="3"/>
    </i>
    <i r="1">
      <x v="3"/>
    </i>
    <i r="1">
      <x v="5"/>
    </i>
    <i r="1">
      <x v="6"/>
    </i>
    <i r="1">
      <x v="7"/>
    </i>
    <i>
      <x v="4"/>
    </i>
    <i r="1">
      <x v="4"/>
    </i>
    <i r="1">
      <x v="9"/>
    </i>
    <i t="grand">
      <x/>
    </i>
  </rowItems>
  <colItems count="1">
    <i/>
  </colItems>
  <pageFields count="1">
    <pageField fld="0" hier="-1"/>
  </pageFields>
  <pivotTableStyleInfo name="PivotStyleLight16" showRowHeaders="1" showColHeaders="1" showRowStripes="0" showColStripes="0" showLastColumn="1"/>
</pivotTableDefinition>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3.bin"/><Relationship Id="rId1" Type="http://schemas.openxmlformats.org/officeDocument/2006/relationships/pivotTable" Target="../pivotTables/pivotTable1.xm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13"/>
  <sheetViews>
    <sheetView tabSelected="1" zoomScale="80" zoomScaleNormal="80" workbookViewId="0">
      <pane xSplit="1" topLeftCell="G1" activePane="topRight" state="frozen"/>
      <selection pane="topRight" activeCell="L95" sqref="L95"/>
    </sheetView>
  </sheetViews>
  <sheetFormatPr defaultRowHeight="18.75" outlineLevelRow="1" outlineLevelCol="1" x14ac:dyDescent="0.3"/>
  <cols>
    <col min="1" max="1" width="46.42578125" style="36" customWidth="1"/>
    <col min="2" max="2" width="17.85546875" style="118" customWidth="1"/>
    <col min="3" max="3" width="12.7109375" style="36" customWidth="1" outlineLevel="1"/>
    <col min="4" max="4" width="9.140625" style="36" customWidth="1" outlineLevel="1"/>
    <col min="5" max="5" width="9.7109375" style="36" customWidth="1" outlineLevel="1"/>
    <col min="6" max="6" width="13.5703125" style="36" customWidth="1" outlineLevel="1"/>
    <col min="7" max="7" width="17.42578125" style="211" bestFit="1" customWidth="1"/>
    <col min="8" max="8" width="14.42578125" style="37" customWidth="1" outlineLevel="1"/>
    <col min="9" max="9" width="13.85546875" style="37" customWidth="1" outlineLevel="1"/>
    <col min="10" max="10" width="13.7109375" style="37" customWidth="1" outlineLevel="1"/>
    <col min="11" max="11" width="14.42578125" style="37" customWidth="1" outlineLevel="1"/>
    <col min="12" max="12" width="14.140625" style="37" customWidth="1"/>
    <col min="13" max="13" width="17.85546875" style="37" customWidth="1" outlineLevel="1"/>
    <col min="14" max="14" width="17.140625" style="37" customWidth="1" outlineLevel="1"/>
    <col min="15" max="15" width="19" style="37" customWidth="1" outlineLevel="1"/>
    <col min="16" max="16" width="17.7109375" style="37" customWidth="1" outlineLevel="1"/>
    <col min="17" max="17" width="15" style="37" customWidth="1" outlineLevel="1"/>
    <col min="18" max="18" width="19.140625" style="37" customWidth="1" outlineLevel="1"/>
    <col min="19" max="19" width="10.42578125" style="70" customWidth="1" outlineLevel="1" collapsed="1"/>
    <col min="20" max="20" width="19.140625" style="37" customWidth="1"/>
    <col min="21" max="21" width="12.42578125" style="37" customWidth="1"/>
    <col min="22" max="22" width="17.85546875" style="37" customWidth="1"/>
    <col min="23" max="16384" width="9.140625" style="37"/>
  </cols>
  <sheetData>
    <row r="1" spans="1:22" x14ac:dyDescent="0.3">
      <c r="A1" s="36" t="s">
        <v>183</v>
      </c>
      <c r="E1" s="335" t="s">
        <v>311</v>
      </c>
      <c r="F1" s="5"/>
      <c r="G1" s="336"/>
      <c r="H1" s="4"/>
      <c r="I1" s="4"/>
      <c r="J1" s="4"/>
      <c r="L1" s="38"/>
      <c r="M1" s="38" t="s">
        <v>57</v>
      </c>
      <c r="N1" s="38" t="s">
        <v>58</v>
      </c>
      <c r="O1" s="38" t="s">
        <v>59</v>
      </c>
      <c r="P1" s="38" t="s">
        <v>65</v>
      </c>
      <c r="R1" s="39" t="s">
        <v>88</v>
      </c>
      <c r="S1" s="40"/>
      <c r="T1" s="39" t="s">
        <v>192</v>
      </c>
      <c r="U1" s="41"/>
      <c r="V1" s="40"/>
    </row>
    <row r="2" spans="1:22" x14ac:dyDescent="0.3">
      <c r="A2" s="227" t="s">
        <v>306</v>
      </c>
      <c r="B2" s="119"/>
      <c r="C2" s="42"/>
      <c r="D2" s="42"/>
      <c r="E2" s="42"/>
      <c r="F2" s="42"/>
      <c r="G2" s="212"/>
      <c r="I2" s="37" t="s">
        <v>302</v>
      </c>
      <c r="L2" s="43" t="s">
        <v>60</v>
      </c>
      <c r="M2" s="138">
        <v>0</v>
      </c>
      <c r="N2" s="138">
        <v>0</v>
      </c>
      <c r="O2" s="138">
        <v>0</v>
      </c>
      <c r="P2" s="138">
        <f>SUM(M2:O2)</f>
        <v>0</v>
      </c>
      <c r="R2" s="44" t="s">
        <v>73</v>
      </c>
      <c r="S2" s="45">
        <v>0</v>
      </c>
      <c r="T2" s="46"/>
      <c r="U2" s="9" t="s">
        <v>184</v>
      </c>
      <c r="V2" s="47" t="s">
        <v>185</v>
      </c>
    </row>
    <row r="3" spans="1:22" ht="45" x14ac:dyDescent="0.3">
      <c r="L3" s="48" t="s">
        <v>55</v>
      </c>
      <c r="M3" s="138">
        <v>0.85</v>
      </c>
      <c r="N3" s="138">
        <v>0.1</v>
      </c>
      <c r="O3" s="138">
        <v>0.05</v>
      </c>
      <c r="P3" s="138">
        <f>SUM(M3:O3)</f>
        <v>1</v>
      </c>
      <c r="R3" s="44" t="s">
        <v>181</v>
      </c>
      <c r="S3" s="45">
        <v>0</v>
      </c>
      <c r="T3" s="46" t="s">
        <v>186</v>
      </c>
      <c r="U3" s="9">
        <v>0</v>
      </c>
      <c r="V3" s="45">
        <v>0</v>
      </c>
    </row>
    <row r="4" spans="1:22" ht="30" x14ac:dyDescent="0.3">
      <c r="A4" s="394"/>
      <c r="B4" s="395"/>
      <c r="C4" s="395"/>
      <c r="D4" s="395"/>
      <c r="E4" s="395"/>
      <c r="F4" s="396"/>
      <c r="L4" s="43" t="s">
        <v>66</v>
      </c>
      <c r="M4" s="38">
        <f>M2*M3</f>
        <v>0</v>
      </c>
      <c r="N4" s="38">
        <f>N2*N3</f>
        <v>0</v>
      </c>
      <c r="O4" s="38">
        <f>O2*O3</f>
        <v>0</v>
      </c>
      <c r="P4" s="38">
        <f>SUM(M4:O4)</f>
        <v>0</v>
      </c>
      <c r="R4" s="44" t="s">
        <v>85</v>
      </c>
      <c r="S4" s="45">
        <v>0</v>
      </c>
      <c r="T4" s="46" t="s">
        <v>187</v>
      </c>
      <c r="U4" s="9">
        <v>0</v>
      </c>
      <c r="V4" s="45">
        <v>0</v>
      </c>
    </row>
    <row r="5" spans="1:22" x14ac:dyDescent="0.3">
      <c r="A5" s="319" t="s">
        <v>307</v>
      </c>
      <c r="B5" s="316"/>
      <c r="C5" s="316"/>
      <c r="D5" s="316"/>
      <c r="E5" s="316"/>
      <c r="F5" s="320"/>
      <c r="L5" s="43" t="s">
        <v>67</v>
      </c>
      <c r="M5" s="138">
        <v>0.6</v>
      </c>
      <c r="N5" s="138">
        <v>0.4</v>
      </c>
      <c r="O5" s="138"/>
      <c r="P5" s="138">
        <f>SUM(M5:O5)</f>
        <v>1</v>
      </c>
      <c r="R5" s="44" t="s">
        <v>89</v>
      </c>
      <c r="S5" s="45">
        <v>0</v>
      </c>
      <c r="T5" s="46" t="s">
        <v>188</v>
      </c>
      <c r="U5" s="9">
        <v>0</v>
      </c>
      <c r="V5" s="45">
        <v>0</v>
      </c>
    </row>
    <row r="6" spans="1:22" ht="15" customHeight="1" x14ac:dyDescent="0.3">
      <c r="A6" s="321" t="s">
        <v>308</v>
      </c>
      <c r="B6" s="317"/>
      <c r="C6" s="317"/>
      <c r="D6" s="317"/>
      <c r="E6" s="317"/>
      <c r="F6" s="322"/>
      <c r="I6" s="37" t="s">
        <v>78</v>
      </c>
      <c r="J6" s="123">
        <v>1</v>
      </c>
      <c r="L6" s="43" t="s">
        <v>68</v>
      </c>
      <c r="M6" s="38">
        <f>M2*M5</f>
        <v>0</v>
      </c>
      <c r="N6" s="38">
        <f>N2*N5</f>
        <v>0</v>
      </c>
      <c r="O6" s="38"/>
      <c r="P6" s="38">
        <f>SUM(M6:O6)</f>
        <v>0</v>
      </c>
      <c r="Q6" s="38"/>
      <c r="R6" s="44" t="s">
        <v>76</v>
      </c>
      <c r="S6" s="45">
        <v>0</v>
      </c>
      <c r="T6" s="46" t="s">
        <v>93</v>
      </c>
      <c r="U6" s="9">
        <v>0</v>
      </c>
      <c r="V6" s="45">
        <v>0</v>
      </c>
    </row>
    <row r="7" spans="1:22" ht="48" customHeight="1" thickBot="1" x14ac:dyDescent="0.35">
      <c r="A7" s="323" t="s">
        <v>309</v>
      </c>
      <c r="B7" s="318"/>
      <c r="C7" s="318"/>
      <c r="D7" s="318"/>
      <c r="E7" s="318"/>
      <c r="F7" s="324"/>
      <c r="J7" s="49">
        <v>1</v>
      </c>
      <c r="K7" s="50" t="s">
        <v>82</v>
      </c>
      <c r="M7" s="38" t="s">
        <v>73</v>
      </c>
      <c r="N7" s="38" t="s">
        <v>74</v>
      </c>
      <c r="O7" s="38" t="s">
        <v>75</v>
      </c>
      <c r="P7" s="38" t="s">
        <v>76</v>
      </c>
      <c r="R7" s="44" t="s">
        <v>90</v>
      </c>
      <c r="S7" s="51">
        <f>SUM(S2:S6)</f>
        <v>0</v>
      </c>
      <c r="T7" s="46" t="s">
        <v>189</v>
      </c>
      <c r="U7" s="9">
        <v>0</v>
      </c>
      <c r="V7" s="52">
        <v>0</v>
      </c>
    </row>
    <row r="8" spans="1:22" ht="30.75" thickBot="1" x14ac:dyDescent="0.35">
      <c r="A8" s="376" t="s">
        <v>316</v>
      </c>
      <c r="B8" s="37"/>
      <c r="C8" s="37"/>
      <c r="D8" s="37"/>
      <c r="E8" s="70"/>
      <c r="F8" s="37"/>
      <c r="J8" s="53">
        <v>2</v>
      </c>
      <c r="K8" s="54" t="s">
        <v>79</v>
      </c>
      <c r="L8" s="55" t="s">
        <v>72</v>
      </c>
      <c r="M8" s="38">
        <v>0.67</v>
      </c>
      <c r="N8" s="56" t="e">
        <f>M2/$P$2*(1-$M$8)</f>
        <v>#DIV/0!</v>
      </c>
      <c r="O8" s="56" t="e">
        <f>N2/$P$2*(1-$M$8)</f>
        <v>#DIV/0!</v>
      </c>
      <c r="P8" s="56" t="e">
        <f>O2/$P$2*(1-$M$8)</f>
        <v>#DIV/0!</v>
      </c>
      <c r="Q8" s="57"/>
      <c r="R8" s="58"/>
      <c r="S8" s="47"/>
      <c r="T8" s="46" t="s">
        <v>190</v>
      </c>
      <c r="U8" s="9">
        <v>0</v>
      </c>
      <c r="V8" s="47"/>
    </row>
    <row r="9" spans="1:22" x14ac:dyDescent="0.3">
      <c r="H9" s="59" t="s">
        <v>262</v>
      </c>
      <c r="I9" s="60"/>
      <c r="J9" s="60"/>
      <c r="K9" s="61"/>
      <c r="L9" s="62" t="s">
        <v>77</v>
      </c>
      <c r="M9" s="38">
        <v>0.75</v>
      </c>
      <c r="N9" s="56" t="e">
        <f>M2/$P$2*(1-$M$9)</f>
        <v>#DIV/0!</v>
      </c>
      <c r="O9" s="56" t="e">
        <f>N2/$P$2*(1-$M$9)</f>
        <v>#DIV/0!</v>
      </c>
      <c r="P9" s="56" t="e">
        <f>O2/$P$2*(1-$M$9)</f>
        <v>#DIV/0!</v>
      </c>
      <c r="Q9" s="57"/>
      <c r="R9" s="63"/>
      <c r="S9" s="64"/>
      <c r="T9" s="65"/>
      <c r="U9" s="66"/>
      <c r="V9" s="64"/>
    </row>
    <row r="10" spans="1:22" x14ac:dyDescent="0.3">
      <c r="H10" s="46" t="s">
        <v>257</v>
      </c>
      <c r="I10" s="9" t="s">
        <v>258</v>
      </c>
      <c r="J10" s="67" t="s">
        <v>259</v>
      </c>
      <c r="K10" s="54" t="s">
        <v>260</v>
      </c>
      <c r="L10" s="9" t="s">
        <v>90</v>
      </c>
      <c r="M10" s="9"/>
      <c r="N10" s="68" t="s">
        <v>95</v>
      </c>
      <c r="O10" s="68"/>
      <c r="P10" s="69">
        <v>0.05</v>
      </c>
      <c r="Q10" s="57"/>
      <c r="R10" s="70"/>
      <c r="S10" s="37"/>
    </row>
    <row r="11" spans="1:22" x14ac:dyDescent="0.3">
      <c r="H11" s="139">
        <v>1</v>
      </c>
      <c r="I11" s="139">
        <v>1</v>
      </c>
      <c r="J11" s="139">
        <v>1</v>
      </c>
      <c r="K11" s="139">
        <v>1</v>
      </c>
      <c r="L11" s="37">
        <f>SUM(H11:K11)</f>
        <v>4</v>
      </c>
      <c r="R11" s="70" t="s">
        <v>92</v>
      </c>
      <c r="S11" s="37"/>
    </row>
    <row r="12" spans="1:22" x14ac:dyDescent="0.3">
      <c r="H12" s="400" t="s">
        <v>194</v>
      </c>
      <c r="I12" s="400"/>
      <c r="J12" s="400"/>
      <c r="K12" s="400"/>
      <c r="R12" s="70"/>
      <c r="S12" s="37"/>
    </row>
    <row r="13" spans="1:22" ht="15" x14ac:dyDescent="0.25">
      <c r="A13" s="72" t="s">
        <v>301</v>
      </c>
      <c r="B13" s="121"/>
      <c r="C13" s="72"/>
      <c r="D13" s="72"/>
      <c r="E13" s="72"/>
      <c r="F13" s="72"/>
      <c r="G13" s="213"/>
      <c r="H13" s="344"/>
      <c r="I13" s="344"/>
      <c r="J13" s="344"/>
      <c r="K13" s="344"/>
      <c r="L13" s="345"/>
    </row>
    <row r="14" spans="1:22" x14ac:dyDescent="0.3">
      <c r="B14" s="95"/>
      <c r="D14" s="95"/>
      <c r="F14" s="213"/>
      <c r="G14" s="213"/>
      <c r="H14" s="213"/>
      <c r="J14" s="95"/>
      <c r="K14" s="95"/>
      <c r="L14" s="95"/>
      <c r="M14" s="95"/>
      <c r="N14" s="135"/>
      <c r="S14" s="95"/>
    </row>
    <row r="15" spans="1:22" ht="15" x14ac:dyDescent="0.25">
      <c r="A15" s="37"/>
      <c r="B15" s="120" t="s">
        <v>297</v>
      </c>
      <c r="C15" s="110"/>
      <c r="D15" s="110"/>
      <c r="E15" s="110"/>
      <c r="F15" s="110"/>
      <c r="G15" s="213"/>
      <c r="H15" s="71"/>
      <c r="I15" s="71"/>
      <c r="J15" s="117"/>
      <c r="K15" s="117"/>
      <c r="L15" s="73"/>
      <c r="R15" s="70"/>
      <c r="S15" s="37"/>
    </row>
    <row r="16" spans="1:22" s="74" customFormat="1" ht="57" customHeight="1" x14ac:dyDescent="0.3">
      <c r="B16" s="122" t="s">
        <v>267</v>
      </c>
      <c r="C16" s="158" t="s">
        <v>239</v>
      </c>
      <c r="D16" s="158" t="s">
        <v>271</v>
      </c>
      <c r="E16" s="158" t="s">
        <v>272</v>
      </c>
      <c r="F16" s="158" t="s">
        <v>274</v>
      </c>
      <c r="G16" s="214" t="s">
        <v>273</v>
      </c>
      <c r="H16" s="75" t="s">
        <v>292</v>
      </c>
      <c r="I16" s="75" t="s">
        <v>295</v>
      </c>
      <c r="J16" s="76" t="s">
        <v>294</v>
      </c>
      <c r="K16" s="76" t="s">
        <v>293</v>
      </c>
      <c r="L16" s="225" t="s">
        <v>269</v>
      </c>
      <c r="M16" s="329" t="s">
        <v>310</v>
      </c>
      <c r="N16" s="329" t="s">
        <v>1</v>
      </c>
      <c r="O16" s="329" t="s">
        <v>2</v>
      </c>
      <c r="P16" s="329" t="s">
        <v>20</v>
      </c>
      <c r="Q16" s="330" t="s">
        <v>71</v>
      </c>
      <c r="R16" s="226" t="s">
        <v>270</v>
      </c>
      <c r="S16" s="375" t="s">
        <v>314</v>
      </c>
      <c r="T16" s="77" t="s">
        <v>3</v>
      </c>
      <c r="U16" s="116" t="s">
        <v>90</v>
      </c>
    </row>
    <row r="17" spans="1:21" ht="26.25" hidden="1" customHeight="1" outlineLevel="1" x14ac:dyDescent="0.3">
      <c r="A17" s="36" t="s">
        <v>21</v>
      </c>
      <c r="B17" s="123">
        <v>0</v>
      </c>
      <c r="C17" s="174">
        <f>B17</f>
        <v>0</v>
      </c>
      <c r="D17" s="325"/>
      <c r="E17" s="326"/>
      <c r="F17" s="326"/>
      <c r="G17" s="216">
        <f t="shared" ref="G17:G20" si="0">B17-SUM(H17:K17)-SUM(M17:Q17)-S17-T17</f>
        <v>0</v>
      </c>
      <c r="H17" s="140">
        <v>0</v>
      </c>
      <c r="I17" s="140">
        <v>0</v>
      </c>
      <c r="J17" s="141">
        <v>0</v>
      </c>
      <c r="K17" s="141"/>
      <c r="L17" s="78">
        <f>C17-H17-I17-J17-K17</f>
        <v>0</v>
      </c>
      <c r="M17" s="402"/>
      <c r="N17" s="402"/>
      <c r="O17" s="402"/>
      <c r="P17" s="402"/>
      <c r="Q17" s="402"/>
      <c r="R17" s="79"/>
      <c r="S17" s="379"/>
      <c r="T17" s="143"/>
      <c r="U17" s="37">
        <f>SUM(H17:K17)+S17+T17</f>
        <v>0</v>
      </c>
    </row>
    <row r="18" spans="1:21" ht="28.5" hidden="1" customHeight="1" outlineLevel="1" x14ac:dyDescent="0.3">
      <c r="A18" s="36" t="s">
        <v>22</v>
      </c>
      <c r="B18" s="123">
        <v>0</v>
      </c>
      <c r="C18" s="174">
        <f>B18</f>
        <v>0</v>
      </c>
      <c r="D18" s="325"/>
      <c r="E18" s="326"/>
      <c r="F18" s="326"/>
      <c r="G18" s="216">
        <f t="shared" si="0"/>
        <v>0</v>
      </c>
      <c r="H18" s="142">
        <f>$B$18*0.29</f>
        <v>0</v>
      </c>
      <c r="I18" s="142">
        <f>$B$18*3%</f>
        <v>0</v>
      </c>
      <c r="J18" s="142">
        <f>$B$18*0.68</f>
        <v>0</v>
      </c>
      <c r="K18" s="142">
        <f>$B$18*0</f>
        <v>0</v>
      </c>
      <c r="L18" s="80">
        <f>C18-H18-I18-J18-K18</f>
        <v>0</v>
      </c>
      <c r="M18" s="402"/>
      <c r="N18" s="402"/>
      <c r="O18" s="402"/>
      <c r="P18" s="402"/>
      <c r="Q18" s="402"/>
      <c r="R18" s="79"/>
      <c r="S18" s="380"/>
      <c r="T18" s="143"/>
      <c r="U18" s="37">
        <f>SUM(H18:K18)+S18+T18</f>
        <v>0</v>
      </c>
    </row>
    <row r="19" spans="1:21" ht="30.75" hidden="1" customHeight="1" outlineLevel="1" x14ac:dyDescent="0.3">
      <c r="A19" s="36" t="s">
        <v>38</v>
      </c>
      <c r="B19" s="123">
        <v>0</v>
      </c>
      <c r="C19" s="174">
        <f>B19</f>
        <v>0</v>
      </c>
      <c r="D19" s="325"/>
      <c r="E19" s="326"/>
      <c r="F19" s="326"/>
      <c r="G19" s="216">
        <f t="shared" si="0"/>
        <v>0</v>
      </c>
      <c r="H19" s="162">
        <f>(H11/L11)*B19</f>
        <v>0</v>
      </c>
      <c r="I19" s="162">
        <f>(I11/L11)*B19</f>
        <v>0</v>
      </c>
      <c r="J19" s="163">
        <f>(J11/L11)*$B$19</f>
        <v>0</v>
      </c>
      <c r="K19" s="163">
        <f>(K11/L11)*$B$19</f>
        <v>0</v>
      </c>
      <c r="L19" s="80">
        <f>C19-H19-I19-J19-K19</f>
        <v>0</v>
      </c>
      <c r="M19" s="402"/>
      <c r="N19" s="402"/>
      <c r="O19" s="402"/>
      <c r="P19" s="402"/>
      <c r="Q19" s="402"/>
      <c r="R19" s="79"/>
      <c r="S19" s="381"/>
      <c r="T19" s="143"/>
      <c r="U19" s="37">
        <f>SUM(H19:K19)+S19+T19</f>
        <v>0</v>
      </c>
    </row>
    <row r="20" spans="1:21" collapsed="1" x14ac:dyDescent="0.3">
      <c r="A20" s="81" t="s">
        <v>4</v>
      </c>
      <c r="B20" s="123">
        <v>0</v>
      </c>
      <c r="C20" s="174">
        <f>B20</f>
        <v>0</v>
      </c>
      <c r="D20" s="325"/>
      <c r="E20" s="326"/>
      <c r="F20" s="326"/>
      <c r="G20" s="216">
        <f t="shared" si="0"/>
        <v>0</v>
      </c>
      <c r="H20" s="164">
        <f>SUM(H17:H19)</f>
        <v>0</v>
      </c>
      <c r="I20" s="164">
        <f>SUM(I17:I19)</f>
        <v>0</v>
      </c>
      <c r="J20" s="164">
        <f>SUM(J17:J19)</f>
        <v>0</v>
      </c>
      <c r="K20" s="164">
        <f>SUM(K17:K19)</f>
        <v>0</v>
      </c>
      <c r="L20" s="80">
        <f>B20-H20-I20-J20-K20</f>
        <v>0</v>
      </c>
      <c r="M20" s="403"/>
      <c r="N20" s="403"/>
      <c r="O20" s="403"/>
      <c r="P20" s="403"/>
      <c r="Q20" s="403"/>
      <c r="R20" s="82"/>
      <c r="S20" s="83">
        <f>SUM(S17:S19)</f>
        <v>0</v>
      </c>
      <c r="T20" s="84">
        <f>SUM(T17:T19)</f>
        <v>0</v>
      </c>
      <c r="U20" s="37">
        <f>SUM(H20:K20)+S20+T20</f>
        <v>0</v>
      </c>
    </row>
    <row r="21" spans="1:21" s="134" customFormat="1" hidden="1" outlineLevel="1" x14ac:dyDescent="0.3">
      <c r="A21" s="85" t="s">
        <v>23</v>
      </c>
      <c r="B21" s="124"/>
      <c r="C21" s="327"/>
      <c r="D21" s="175"/>
      <c r="E21" s="326"/>
      <c r="F21" s="176"/>
      <c r="G21" s="216">
        <f t="shared" ref="G21:G54" si="1">B21-SUM(H21:K21)-SUM(M21:Q21)-S21-T21</f>
        <v>0</v>
      </c>
      <c r="H21" s="401"/>
      <c r="I21" s="401"/>
      <c r="J21" s="401"/>
      <c r="K21" s="401"/>
      <c r="L21" s="401"/>
      <c r="M21" s="331"/>
      <c r="N21" s="331"/>
      <c r="O21" s="331"/>
      <c r="P21" s="331"/>
      <c r="Q21" s="331"/>
      <c r="R21" s="83">
        <f>D21-M21-N21-O21-P21-Q21</f>
        <v>0</v>
      </c>
      <c r="S21" s="382"/>
      <c r="T21" s="143"/>
      <c r="U21" s="37">
        <f>SUM(H21:K21)+S21+T21</f>
        <v>0</v>
      </c>
    </row>
    <row r="22" spans="1:21" s="134" customFormat="1" ht="20.25" hidden="1" customHeight="1" outlineLevel="1" x14ac:dyDescent="0.3">
      <c r="A22" s="85" t="s">
        <v>24</v>
      </c>
      <c r="B22" s="124">
        <v>0</v>
      </c>
      <c r="C22" s="327"/>
      <c r="D22" s="175"/>
      <c r="E22" s="326"/>
      <c r="F22" s="176"/>
      <c r="G22" s="216">
        <f t="shared" si="1"/>
        <v>0</v>
      </c>
      <c r="H22" s="401"/>
      <c r="I22" s="401"/>
      <c r="J22" s="401"/>
      <c r="K22" s="401"/>
      <c r="L22" s="401"/>
      <c r="M22" s="143"/>
      <c r="N22" s="143"/>
      <c r="O22" s="143"/>
      <c r="P22" s="143"/>
      <c r="Q22" s="143"/>
      <c r="R22" s="83">
        <f t="shared" ref="R22:R48" si="2">D22-M22-N22-O22-P22-Q22</f>
        <v>0</v>
      </c>
      <c r="S22" s="383"/>
      <c r="T22" s="143"/>
      <c r="U22" s="134">
        <f>SUM(M21:Q21)+S22+T22</f>
        <v>0</v>
      </c>
    </row>
    <row r="23" spans="1:21" s="134" customFormat="1" ht="21" hidden="1" customHeight="1" outlineLevel="1" x14ac:dyDescent="0.3">
      <c r="A23" s="85" t="s">
        <v>25</v>
      </c>
      <c r="B23" s="124">
        <v>0</v>
      </c>
      <c r="C23" s="327"/>
      <c r="D23" s="175"/>
      <c r="E23" s="326"/>
      <c r="F23" s="176"/>
      <c r="G23" s="216">
        <f t="shared" si="1"/>
        <v>0</v>
      </c>
      <c r="H23" s="401"/>
      <c r="I23" s="401"/>
      <c r="J23" s="401"/>
      <c r="K23" s="401"/>
      <c r="L23" s="401"/>
      <c r="M23" s="144"/>
      <c r="N23" s="143"/>
      <c r="O23" s="143"/>
      <c r="P23" s="145"/>
      <c r="Q23" s="143"/>
      <c r="R23" s="83">
        <f t="shared" si="2"/>
        <v>0</v>
      </c>
      <c r="S23" s="383"/>
      <c r="T23" s="143"/>
      <c r="U23" s="134">
        <f t="shared" ref="U23:U29" si="3">SUM(M23:Q23)+S23+T23</f>
        <v>0</v>
      </c>
    </row>
    <row r="24" spans="1:21" ht="27.75" hidden="1" customHeight="1" outlineLevel="1" x14ac:dyDescent="0.3">
      <c r="A24" s="85" t="s">
        <v>41</v>
      </c>
      <c r="B24" s="124">
        <v>0</v>
      </c>
      <c r="C24" s="327"/>
      <c r="D24" s="175"/>
      <c r="E24" s="326"/>
      <c r="F24" s="176"/>
      <c r="G24" s="216">
        <f t="shared" si="1"/>
        <v>0</v>
      </c>
      <c r="H24" s="401"/>
      <c r="I24" s="401"/>
      <c r="J24" s="401"/>
      <c r="K24" s="401"/>
      <c r="L24" s="401"/>
      <c r="M24" s="144"/>
      <c r="N24" s="143"/>
      <c r="O24" s="143"/>
      <c r="P24" s="145"/>
      <c r="Q24" s="143"/>
      <c r="R24" s="83">
        <f t="shared" si="2"/>
        <v>0</v>
      </c>
      <c r="S24" s="383"/>
      <c r="T24" s="143"/>
      <c r="U24" s="37">
        <f t="shared" si="3"/>
        <v>0</v>
      </c>
    </row>
    <row r="25" spans="1:21" ht="27.75" hidden="1" customHeight="1" outlineLevel="1" x14ac:dyDescent="0.3">
      <c r="A25" s="86" t="s">
        <v>26</v>
      </c>
      <c r="B25" s="124"/>
      <c r="C25" s="327"/>
      <c r="D25" s="175"/>
      <c r="E25" s="326"/>
      <c r="F25" s="176"/>
      <c r="G25" s="216">
        <f t="shared" si="1"/>
        <v>0</v>
      </c>
      <c r="H25" s="401"/>
      <c r="I25" s="401"/>
      <c r="J25" s="401"/>
      <c r="K25" s="401"/>
      <c r="L25" s="401"/>
      <c r="M25" s="144"/>
      <c r="N25" s="143"/>
      <c r="O25" s="143"/>
      <c r="P25" s="145"/>
      <c r="Q25" s="143"/>
      <c r="R25" s="83">
        <f t="shared" si="2"/>
        <v>0</v>
      </c>
      <c r="S25" s="383"/>
      <c r="T25" s="143"/>
      <c r="U25" s="37">
        <f t="shared" si="3"/>
        <v>0</v>
      </c>
    </row>
    <row r="26" spans="1:21" ht="27.75" hidden="1" customHeight="1" outlineLevel="1" x14ac:dyDescent="0.3">
      <c r="A26" s="86" t="s">
        <v>37</v>
      </c>
      <c r="B26" s="124">
        <v>0</v>
      </c>
      <c r="C26" s="327"/>
      <c r="D26" s="175"/>
      <c r="E26" s="326"/>
      <c r="F26" s="176"/>
      <c r="G26" s="216">
        <f t="shared" si="1"/>
        <v>0</v>
      </c>
      <c r="H26" s="401"/>
      <c r="I26" s="401"/>
      <c r="J26" s="401"/>
      <c r="K26" s="401"/>
      <c r="L26" s="401"/>
      <c r="M26" s="144"/>
      <c r="N26" s="143"/>
      <c r="O26" s="143"/>
      <c r="P26" s="145">
        <v>0</v>
      </c>
      <c r="Q26" s="143"/>
      <c r="R26" s="83">
        <f t="shared" si="2"/>
        <v>0</v>
      </c>
      <c r="S26" s="383"/>
      <c r="T26" s="143"/>
      <c r="U26" s="37">
        <f t="shared" si="3"/>
        <v>0</v>
      </c>
    </row>
    <row r="27" spans="1:21" ht="44.25" hidden="1" customHeight="1" outlineLevel="1" x14ac:dyDescent="0.3">
      <c r="A27" s="86" t="s">
        <v>27</v>
      </c>
      <c r="B27" s="124">
        <v>0</v>
      </c>
      <c r="C27" s="327"/>
      <c r="D27" s="175"/>
      <c r="E27" s="326"/>
      <c r="F27" s="176"/>
      <c r="G27" s="216">
        <f t="shared" si="1"/>
        <v>0</v>
      </c>
      <c r="H27" s="401"/>
      <c r="I27" s="401"/>
      <c r="J27" s="401"/>
      <c r="K27" s="401"/>
      <c r="L27" s="401"/>
      <c r="M27" s="144"/>
      <c r="N27" s="143"/>
      <c r="O27" s="143"/>
      <c r="P27" s="145"/>
      <c r="Q27" s="143"/>
      <c r="R27" s="83">
        <f t="shared" si="2"/>
        <v>0</v>
      </c>
      <c r="S27" s="383"/>
      <c r="T27" s="143"/>
      <c r="U27" s="37">
        <f t="shared" si="3"/>
        <v>0</v>
      </c>
    </row>
    <row r="28" spans="1:21" ht="44.25" hidden="1" customHeight="1" outlineLevel="1" x14ac:dyDescent="0.3">
      <c r="A28" s="86" t="s">
        <v>39</v>
      </c>
      <c r="B28" s="124"/>
      <c r="C28" s="327"/>
      <c r="D28" s="175"/>
      <c r="E28" s="326"/>
      <c r="F28" s="176"/>
      <c r="G28" s="216">
        <f t="shared" si="1"/>
        <v>0</v>
      </c>
      <c r="H28" s="401"/>
      <c r="I28" s="401"/>
      <c r="J28" s="401"/>
      <c r="K28" s="401"/>
      <c r="L28" s="401"/>
      <c r="M28" s="144"/>
      <c r="N28" s="143"/>
      <c r="O28" s="143"/>
      <c r="P28" s="145"/>
      <c r="Q28" s="143"/>
      <c r="R28" s="83">
        <f t="shared" si="2"/>
        <v>0</v>
      </c>
      <c r="S28" s="383"/>
      <c r="T28" s="143"/>
      <c r="U28" s="37">
        <f t="shared" si="3"/>
        <v>0</v>
      </c>
    </row>
    <row r="29" spans="1:21" ht="23.25" hidden="1" customHeight="1" outlineLevel="1" x14ac:dyDescent="0.3">
      <c r="A29" s="86" t="s">
        <v>40</v>
      </c>
      <c r="B29" s="124">
        <v>0</v>
      </c>
      <c r="C29" s="327"/>
      <c r="D29" s="175"/>
      <c r="E29" s="326"/>
      <c r="F29" s="176"/>
      <c r="G29" s="216">
        <f t="shared" si="1"/>
        <v>0</v>
      </c>
      <c r="H29" s="401"/>
      <c r="I29" s="401"/>
      <c r="J29" s="401"/>
      <c r="K29" s="401"/>
      <c r="L29" s="401"/>
      <c r="M29" s="144"/>
      <c r="N29" s="143"/>
      <c r="O29" s="143"/>
      <c r="P29" s="145"/>
      <c r="Q29" s="143"/>
      <c r="R29" s="83">
        <f t="shared" si="2"/>
        <v>0</v>
      </c>
      <c r="S29" s="383"/>
      <c r="T29" s="143"/>
      <c r="U29" s="37">
        <f t="shared" si="3"/>
        <v>0</v>
      </c>
    </row>
    <row r="30" spans="1:21" s="173" customFormat="1" ht="23.25" customHeight="1" collapsed="1" x14ac:dyDescent="0.3">
      <c r="A30" s="166" t="s">
        <v>304</v>
      </c>
      <c r="B30" s="167">
        <f>SUM(B17:B29)</f>
        <v>0</v>
      </c>
      <c r="C30" s="168"/>
      <c r="D30" s="168"/>
      <c r="E30" s="326"/>
      <c r="F30" s="169"/>
      <c r="G30" s="216">
        <f t="shared" si="1"/>
        <v>0</v>
      </c>
      <c r="H30" s="401"/>
      <c r="I30" s="401"/>
      <c r="J30" s="401"/>
      <c r="K30" s="401"/>
      <c r="L30" s="401"/>
      <c r="M30" s="170">
        <f>SUM(M21:M29)</f>
        <v>0</v>
      </c>
      <c r="N30" s="170">
        <f t="shared" ref="N30:Q30" si="4">SUM(N21:N29)</f>
        <v>0</v>
      </c>
      <c r="O30" s="170">
        <f t="shared" si="4"/>
        <v>0</v>
      </c>
      <c r="P30" s="170">
        <f t="shared" si="4"/>
        <v>0</v>
      </c>
      <c r="Q30" s="170">
        <f t="shared" si="4"/>
        <v>0</v>
      </c>
      <c r="R30" s="83">
        <f t="shared" si="2"/>
        <v>0</v>
      </c>
      <c r="S30" s="383"/>
      <c r="T30" s="143"/>
    </row>
    <row r="31" spans="1:21" ht="23.25" customHeight="1" outlineLevel="1" x14ac:dyDescent="0.3">
      <c r="A31" s="87" t="s">
        <v>34</v>
      </c>
      <c r="B31" s="124"/>
      <c r="C31" s="168"/>
      <c r="D31" s="175"/>
      <c r="E31" s="326"/>
      <c r="F31" s="176"/>
      <c r="G31" s="216">
        <f t="shared" si="1"/>
        <v>0</v>
      </c>
      <c r="H31" s="401"/>
      <c r="I31" s="401"/>
      <c r="J31" s="401"/>
      <c r="K31" s="401"/>
      <c r="L31" s="401"/>
      <c r="M31" s="144"/>
      <c r="N31" s="143"/>
      <c r="O31" s="143"/>
      <c r="P31" s="145"/>
      <c r="Q31" s="143"/>
      <c r="R31" s="83">
        <f t="shared" si="2"/>
        <v>0</v>
      </c>
      <c r="S31" s="383"/>
      <c r="T31" s="143"/>
      <c r="U31" s="37">
        <f>SUM(M31:Q31)+S31+T31</f>
        <v>0</v>
      </c>
    </row>
    <row r="32" spans="1:21" outlineLevel="1" x14ac:dyDescent="0.3">
      <c r="A32" s="87" t="s">
        <v>35</v>
      </c>
      <c r="B32" s="124"/>
      <c r="C32" s="168"/>
      <c r="D32" s="175"/>
      <c r="E32" s="326"/>
      <c r="F32" s="176"/>
      <c r="G32" s="216">
        <f t="shared" si="1"/>
        <v>0</v>
      </c>
      <c r="H32" s="401"/>
      <c r="I32" s="401"/>
      <c r="J32" s="401"/>
      <c r="K32" s="401"/>
      <c r="L32" s="401"/>
      <c r="M32" s="144"/>
      <c r="N32" s="143"/>
      <c r="O32" s="143"/>
      <c r="P32" s="145"/>
      <c r="Q32" s="143"/>
      <c r="R32" s="83">
        <f t="shared" si="2"/>
        <v>0</v>
      </c>
      <c r="S32" s="383"/>
      <c r="T32" s="143"/>
      <c r="U32" s="37">
        <f>SUM(M32:Q32)+S32+T32</f>
        <v>0</v>
      </c>
    </row>
    <row r="33" spans="1:21" outlineLevel="1" x14ac:dyDescent="0.3">
      <c r="A33" s="87" t="s">
        <v>36</v>
      </c>
      <c r="B33" s="124"/>
      <c r="C33" s="168"/>
      <c r="D33" s="175"/>
      <c r="E33" s="326"/>
      <c r="F33" s="176"/>
      <c r="G33" s="216">
        <f t="shared" si="1"/>
        <v>0</v>
      </c>
      <c r="H33" s="401"/>
      <c r="I33" s="401"/>
      <c r="J33" s="401"/>
      <c r="K33" s="401"/>
      <c r="L33" s="401"/>
      <c r="M33" s="138"/>
      <c r="N33" s="138"/>
      <c r="O33" s="138"/>
      <c r="P33" s="138"/>
      <c r="Q33" s="138"/>
      <c r="R33" s="83">
        <f t="shared" si="2"/>
        <v>0</v>
      </c>
      <c r="S33" s="384"/>
      <c r="T33" s="37">
        <v>0</v>
      </c>
      <c r="U33" s="37">
        <f>SUM(M33:Q33)+S33+T33</f>
        <v>0</v>
      </c>
    </row>
    <row r="34" spans="1:21" s="4" customFormat="1" outlineLevel="1" x14ac:dyDescent="0.3">
      <c r="A34" s="188" t="s">
        <v>305</v>
      </c>
      <c r="B34" s="189">
        <f>SUM(B31:B33)</f>
        <v>0</v>
      </c>
      <c r="C34" s="189">
        <f t="shared" ref="C34:F34" si="5">SUM(C31:C33)</f>
        <v>0</v>
      </c>
      <c r="D34" s="189">
        <f t="shared" si="5"/>
        <v>0</v>
      </c>
      <c r="E34" s="189">
        <f t="shared" si="5"/>
        <v>0</v>
      </c>
      <c r="F34" s="189">
        <f t="shared" si="5"/>
        <v>0</v>
      </c>
      <c r="G34" s="216">
        <f t="shared" si="1"/>
        <v>0</v>
      </c>
      <c r="H34" s="328"/>
      <c r="I34" s="328"/>
      <c r="J34" s="328"/>
      <c r="K34" s="328"/>
      <c r="L34" s="328"/>
      <c r="M34" s="190">
        <f>SUM(M31:M33)</f>
        <v>0</v>
      </c>
      <c r="N34" s="190">
        <f t="shared" ref="N34:T34" si="6">SUM(N31:N33)</f>
        <v>0</v>
      </c>
      <c r="O34" s="190">
        <f t="shared" si="6"/>
        <v>0</v>
      </c>
      <c r="P34" s="190">
        <f t="shared" si="6"/>
        <v>0</v>
      </c>
      <c r="Q34" s="190">
        <f t="shared" si="6"/>
        <v>0</v>
      </c>
      <c r="R34" s="83">
        <f t="shared" si="2"/>
        <v>0</v>
      </c>
      <c r="S34" s="190">
        <f t="shared" si="6"/>
        <v>0</v>
      </c>
      <c r="T34" s="190">
        <f t="shared" si="6"/>
        <v>0</v>
      </c>
    </row>
    <row r="35" spans="1:21" s="191" customFormat="1" x14ac:dyDescent="0.3">
      <c r="A35" s="88" t="s">
        <v>300</v>
      </c>
      <c r="B35" s="167">
        <v>0</v>
      </c>
      <c r="C35" s="167">
        <f t="shared" ref="C35:F35" si="7">C30+C34</f>
        <v>0</v>
      </c>
      <c r="D35" s="167">
        <f t="shared" si="7"/>
        <v>0</v>
      </c>
      <c r="E35" s="167">
        <f t="shared" si="7"/>
        <v>0</v>
      </c>
      <c r="F35" s="167">
        <f t="shared" si="7"/>
        <v>0</v>
      </c>
      <c r="G35" s="216">
        <f t="shared" si="1"/>
        <v>0</v>
      </c>
      <c r="H35" s="401"/>
      <c r="I35" s="401"/>
      <c r="J35" s="401"/>
      <c r="K35" s="401"/>
      <c r="L35" s="401"/>
      <c r="M35" s="190">
        <f>M30+M34</f>
        <v>0</v>
      </c>
      <c r="N35" s="190">
        <f t="shared" ref="N35:Q35" si="8">N30+N34</f>
        <v>0</v>
      </c>
      <c r="O35" s="190">
        <f t="shared" si="8"/>
        <v>0</v>
      </c>
      <c r="P35" s="190">
        <f t="shared" si="8"/>
        <v>0</v>
      </c>
      <c r="Q35" s="190">
        <f t="shared" si="8"/>
        <v>0</v>
      </c>
      <c r="R35" s="83">
        <f t="shared" si="2"/>
        <v>0</v>
      </c>
      <c r="S35" s="95"/>
      <c r="T35" s="95">
        <v>0</v>
      </c>
      <c r="U35" s="95">
        <f>SUM(M35:Q35)+S35+T35</f>
        <v>0</v>
      </c>
    </row>
    <row r="36" spans="1:21" outlineLevel="1" x14ac:dyDescent="0.3">
      <c r="A36" s="87" t="s">
        <v>5</v>
      </c>
      <c r="B36" s="124">
        <v>0</v>
      </c>
      <c r="C36" s="327"/>
      <c r="D36" s="175"/>
      <c r="E36" s="333"/>
      <c r="F36" s="176"/>
      <c r="G36" s="216" t="e">
        <f t="shared" si="1"/>
        <v>#DIV/0!</v>
      </c>
      <c r="H36" s="401"/>
      <c r="I36" s="401"/>
      <c r="J36" s="401"/>
      <c r="K36" s="401"/>
      <c r="L36" s="401"/>
      <c r="M36" s="192"/>
      <c r="N36" s="165"/>
      <c r="O36" s="193">
        <f>($M$3/(($M$3+$O$3))*B36)</f>
        <v>0</v>
      </c>
      <c r="P36" s="194">
        <f>$O$3/0.9*B36</f>
        <v>0</v>
      </c>
      <c r="Q36" s="193" t="e">
        <f>$N$4/$P$4*B36</f>
        <v>#DIV/0!</v>
      </c>
      <c r="R36" s="83" t="e">
        <f>D36-M36-N36-O36-P36-Q36</f>
        <v>#DIV/0!</v>
      </c>
      <c r="S36" s="385"/>
      <c r="T36" s="145"/>
      <c r="U36" s="95" t="e">
        <f t="shared" ref="U36:U72" si="9">SUM(M36:Q36)+S36+T36</f>
        <v>#DIV/0!</v>
      </c>
    </row>
    <row r="37" spans="1:21" outlineLevel="1" x14ac:dyDescent="0.3">
      <c r="A37" s="87" t="s">
        <v>6</v>
      </c>
      <c r="B37" s="124">
        <v>0</v>
      </c>
      <c r="C37" s="327"/>
      <c r="D37" s="175"/>
      <c r="E37" s="333"/>
      <c r="F37" s="176"/>
      <c r="G37" s="216" t="e">
        <f t="shared" si="1"/>
        <v>#DIV/0!</v>
      </c>
      <c r="H37" s="401"/>
      <c r="I37" s="401"/>
      <c r="J37" s="401"/>
      <c r="K37" s="401"/>
      <c r="L37" s="401"/>
      <c r="M37" s="192"/>
      <c r="N37" s="165"/>
      <c r="O37" s="193">
        <f>($M$3/(($M$3+$O$3))*B37)</f>
        <v>0</v>
      </c>
      <c r="P37" s="194">
        <f>$O$3/0.9*B37</f>
        <v>0</v>
      </c>
      <c r="Q37" s="193" t="e">
        <f>$N$4/$P$4*B37</f>
        <v>#DIV/0!</v>
      </c>
      <c r="R37" s="83" t="e">
        <f t="shared" si="2"/>
        <v>#DIV/0!</v>
      </c>
      <c r="S37" s="386"/>
      <c r="T37" s="145"/>
      <c r="U37" s="95" t="e">
        <f t="shared" si="9"/>
        <v>#DIV/0!</v>
      </c>
    </row>
    <row r="38" spans="1:21" outlineLevel="1" x14ac:dyDescent="0.3">
      <c r="A38" s="87" t="s">
        <v>7</v>
      </c>
      <c r="B38" s="125">
        <v>0</v>
      </c>
      <c r="C38" s="327"/>
      <c r="D38" s="175"/>
      <c r="E38" s="333"/>
      <c r="F38" s="176"/>
      <c r="G38" s="216" t="e">
        <f t="shared" si="1"/>
        <v>#DIV/0!</v>
      </c>
      <c r="H38" s="401"/>
      <c r="I38" s="401"/>
      <c r="J38" s="401"/>
      <c r="K38" s="401"/>
      <c r="L38" s="401"/>
      <c r="M38" s="192"/>
      <c r="N38" s="165"/>
      <c r="O38" s="193" t="e">
        <f>M6/P6*B38</f>
        <v>#DIV/0!</v>
      </c>
      <c r="P38" s="194"/>
      <c r="Q38" s="193" t="e">
        <f>N6/P6*B38</f>
        <v>#DIV/0!</v>
      </c>
      <c r="R38" s="83" t="e">
        <f>D38-M38-N38-O38-P38-Q38</f>
        <v>#DIV/0!</v>
      </c>
      <c r="S38" s="386"/>
      <c r="T38" s="145"/>
      <c r="U38" s="95" t="e">
        <f t="shared" si="9"/>
        <v>#DIV/0!</v>
      </c>
    </row>
    <row r="39" spans="1:21" outlineLevel="1" x14ac:dyDescent="0.3">
      <c r="A39" s="87" t="s">
        <v>28</v>
      </c>
      <c r="B39" s="124">
        <v>0</v>
      </c>
      <c r="C39" s="327"/>
      <c r="D39" s="175"/>
      <c r="E39" s="333"/>
      <c r="F39" s="176"/>
      <c r="G39" s="216">
        <f t="shared" si="1"/>
        <v>0</v>
      </c>
      <c r="H39" s="401"/>
      <c r="I39" s="401"/>
      <c r="J39" s="401"/>
      <c r="K39" s="401"/>
      <c r="L39" s="401"/>
      <c r="M39" s="192"/>
      <c r="N39" s="165"/>
      <c r="O39" s="165"/>
      <c r="P39" s="195"/>
      <c r="Q39" s="165">
        <f>B39</f>
        <v>0</v>
      </c>
      <c r="R39" s="83">
        <f t="shared" si="2"/>
        <v>0</v>
      </c>
      <c r="S39" s="386"/>
      <c r="T39" s="145"/>
      <c r="U39" s="95">
        <f t="shared" si="9"/>
        <v>0</v>
      </c>
    </row>
    <row r="40" spans="1:21" outlineLevel="1" x14ac:dyDescent="0.3">
      <c r="A40" s="87" t="s">
        <v>42</v>
      </c>
      <c r="B40" s="124">
        <v>0</v>
      </c>
      <c r="C40" s="327"/>
      <c r="D40" s="175"/>
      <c r="E40" s="333"/>
      <c r="F40" s="176"/>
      <c r="G40" s="216">
        <f t="shared" si="1"/>
        <v>0</v>
      </c>
      <c r="H40" s="401"/>
      <c r="I40" s="401"/>
      <c r="J40" s="401"/>
      <c r="K40" s="401"/>
      <c r="L40" s="401"/>
      <c r="M40" s="192"/>
      <c r="N40" s="165"/>
      <c r="O40" s="165">
        <f>B40</f>
        <v>0</v>
      </c>
      <c r="P40" s="195"/>
      <c r="Q40" s="165"/>
      <c r="R40" s="83">
        <f t="shared" si="2"/>
        <v>0</v>
      </c>
      <c r="S40" s="386"/>
      <c r="T40" s="145"/>
      <c r="U40" s="95">
        <f t="shared" si="9"/>
        <v>0</v>
      </c>
    </row>
    <row r="41" spans="1:21" outlineLevel="1" x14ac:dyDescent="0.3">
      <c r="A41" s="87" t="s">
        <v>43</v>
      </c>
      <c r="B41" s="124">
        <v>0</v>
      </c>
      <c r="C41" s="327"/>
      <c r="D41" s="175"/>
      <c r="E41" s="333"/>
      <c r="F41" s="176"/>
      <c r="G41" s="216" t="e">
        <f t="shared" si="1"/>
        <v>#DIV/0!</v>
      </c>
      <c r="H41" s="401"/>
      <c r="I41" s="401"/>
      <c r="J41" s="401"/>
      <c r="K41" s="401"/>
      <c r="L41" s="401"/>
      <c r="M41" s="192"/>
      <c r="N41" s="165"/>
      <c r="O41" s="193">
        <f>($M$3/(($M$3+$O$3))*B41)</f>
        <v>0</v>
      </c>
      <c r="P41" s="194">
        <f>$O$3/0.9*B41</f>
        <v>0</v>
      </c>
      <c r="Q41" s="193" t="e">
        <f>$N$4/$P$4*B41</f>
        <v>#DIV/0!</v>
      </c>
      <c r="R41" s="83" t="e">
        <f t="shared" si="2"/>
        <v>#DIV/0!</v>
      </c>
      <c r="S41" s="386"/>
      <c r="T41" s="145"/>
      <c r="U41" s="95" t="e">
        <f t="shared" si="9"/>
        <v>#DIV/0!</v>
      </c>
    </row>
    <row r="42" spans="1:21" outlineLevel="1" x14ac:dyDescent="0.3">
      <c r="A42" s="87" t="s">
        <v>44</v>
      </c>
      <c r="B42" s="124">
        <v>0</v>
      </c>
      <c r="C42" s="327"/>
      <c r="D42" s="175"/>
      <c r="E42" s="333"/>
      <c r="F42" s="176"/>
      <c r="G42" s="216" t="e">
        <f t="shared" si="1"/>
        <v>#DIV/0!</v>
      </c>
      <c r="H42" s="401"/>
      <c r="I42" s="401"/>
      <c r="J42" s="401"/>
      <c r="K42" s="401"/>
      <c r="L42" s="401"/>
      <c r="M42" s="192"/>
      <c r="N42" s="165"/>
      <c r="O42" s="193">
        <f>($M$3/($M$3+$O$3))*B42</f>
        <v>0</v>
      </c>
      <c r="P42" s="193">
        <f>($O$3/($M$3+$O$3))*B42</f>
        <v>0</v>
      </c>
      <c r="Q42" s="193" t="e">
        <f>$N$4/$P$4*B42</f>
        <v>#DIV/0!</v>
      </c>
      <c r="R42" s="83" t="e">
        <f t="shared" si="2"/>
        <v>#DIV/0!</v>
      </c>
      <c r="S42" s="386"/>
      <c r="T42" s="145"/>
      <c r="U42" s="95" t="e">
        <f t="shared" si="9"/>
        <v>#DIV/0!</v>
      </c>
    </row>
    <row r="43" spans="1:21" outlineLevel="1" x14ac:dyDescent="0.3">
      <c r="A43" s="87" t="s">
        <v>45</v>
      </c>
      <c r="B43" s="124">
        <v>0</v>
      </c>
      <c r="C43" s="327"/>
      <c r="D43" s="175"/>
      <c r="E43" s="333"/>
      <c r="F43" s="176"/>
      <c r="G43" s="216">
        <f t="shared" si="1"/>
        <v>0</v>
      </c>
      <c r="H43" s="401"/>
      <c r="I43" s="401"/>
      <c r="J43" s="401"/>
      <c r="K43" s="401"/>
      <c r="L43" s="401"/>
      <c r="M43" s="192"/>
      <c r="N43" s="165"/>
      <c r="O43" s="193">
        <f>B43</f>
        <v>0</v>
      </c>
      <c r="P43" s="194"/>
      <c r="Q43" s="193"/>
      <c r="R43" s="83">
        <f t="shared" si="2"/>
        <v>0</v>
      </c>
      <c r="S43" s="386"/>
      <c r="T43" s="145"/>
      <c r="U43" s="95">
        <f t="shared" si="9"/>
        <v>0</v>
      </c>
    </row>
    <row r="44" spans="1:21" outlineLevel="1" x14ac:dyDescent="0.3">
      <c r="A44" s="87" t="s">
        <v>46</v>
      </c>
      <c r="B44" s="124">
        <v>0</v>
      </c>
      <c r="C44" s="327"/>
      <c r="D44" s="175"/>
      <c r="E44" s="333"/>
      <c r="F44" s="176"/>
      <c r="G44" s="216" t="e">
        <f t="shared" si="1"/>
        <v>#DIV/0!</v>
      </c>
      <c r="H44" s="401"/>
      <c r="I44" s="401"/>
      <c r="J44" s="401"/>
      <c r="K44" s="401"/>
      <c r="L44" s="401"/>
      <c r="M44" s="192"/>
      <c r="N44" s="165"/>
      <c r="O44" s="193">
        <f>($M$3/(($M$3+$O$3))*B44)</f>
        <v>0</v>
      </c>
      <c r="P44" s="194">
        <f>$O$3/0.9*B44</f>
        <v>0</v>
      </c>
      <c r="Q44" s="193" t="e">
        <f>$N$4/$P$4*B44</f>
        <v>#DIV/0!</v>
      </c>
      <c r="R44" s="83" t="e">
        <f t="shared" si="2"/>
        <v>#DIV/0!</v>
      </c>
      <c r="S44" s="386"/>
      <c r="T44" s="145"/>
      <c r="U44" s="95" t="e">
        <f t="shared" si="9"/>
        <v>#DIV/0!</v>
      </c>
    </row>
    <row r="45" spans="1:21" outlineLevel="1" x14ac:dyDescent="0.3">
      <c r="A45" s="87" t="s">
        <v>70</v>
      </c>
      <c r="B45" s="124">
        <v>0</v>
      </c>
      <c r="C45" s="327"/>
      <c r="D45" s="175"/>
      <c r="E45" s="333"/>
      <c r="F45" s="176"/>
      <c r="G45" s="216">
        <f t="shared" si="1"/>
        <v>0</v>
      </c>
      <c r="H45" s="401"/>
      <c r="I45" s="401"/>
      <c r="J45" s="401"/>
      <c r="K45" s="401"/>
      <c r="L45" s="401"/>
      <c r="M45" s="192"/>
      <c r="N45" s="165"/>
      <c r="O45" s="193"/>
      <c r="P45" s="194">
        <f>0.5*B45</f>
        <v>0</v>
      </c>
      <c r="Q45" s="193">
        <f>0.5*B45</f>
        <v>0</v>
      </c>
      <c r="R45" s="83">
        <f t="shared" si="2"/>
        <v>0</v>
      </c>
      <c r="S45" s="386"/>
      <c r="T45" s="145"/>
      <c r="U45" s="95">
        <f t="shared" si="9"/>
        <v>0</v>
      </c>
    </row>
    <row r="46" spans="1:21" outlineLevel="1" x14ac:dyDescent="0.3">
      <c r="A46" s="87" t="s">
        <v>47</v>
      </c>
      <c r="B46" s="124">
        <v>0</v>
      </c>
      <c r="C46" s="327"/>
      <c r="D46" s="175"/>
      <c r="E46" s="333"/>
      <c r="F46" s="176"/>
      <c r="G46" s="216" t="e">
        <f t="shared" si="1"/>
        <v>#DIV/0!</v>
      </c>
      <c r="H46" s="401"/>
      <c r="I46" s="401"/>
      <c r="J46" s="401"/>
      <c r="K46" s="401"/>
      <c r="L46" s="401"/>
      <c r="M46" s="192"/>
      <c r="N46" s="165"/>
      <c r="O46" s="193">
        <f>($M$3/(($M$3+$O$3))*B46)</f>
        <v>0</v>
      </c>
      <c r="P46" s="194">
        <f>$O$3/0.9*B46</f>
        <v>0</v>
      </c>
      <c r="Q46" s="193" t="e">
        <f>$N$4/$P$4*B46</f>
        <v>#DIV/0!</v>
      </c>
      <c r="R46" s="83" t="e">
        <f t="shared" si="2"/>
        <v>#DIV/0!</v>
      </c>
      <c r="S46" s="387"/>
      <c r="T46" s="145"/>
      <c r="U46" s="95" t="e">
        <f t="shared" si="9"/>
        <v>#DIV/0!</v>
      </c>
    </row>
    <row r="47" spans="1:21" s="95" customFormat="1" x14ac:dyDescent="0.3">
      <c r="A47" s="91" t="s">
        <v>48</v>
      </c>
      <c r="B47" s="126">
        <v>0</v>
      </c>
      <c r="C47" s="332"/>
      <c r="D47" s="177"/>
      <c r="E47" s="334"/>
      <c r="F47" s="178"/>
      <c r="G47" s="216" t="e">
        <f t="shared" si="1"/>
        <v>#DIV/0!</v>
      </c>
      <c r="H47" s="130"/>
      <c r="I47" s="130"/>
      <c r="J47" s="130"/>
      <c r="K47" s="130"/>
      <c r="L47" s="92"/>
      <c r="M47" s="170">
        <f t="shared" ref="M47:P47" si="10">SUM(M36:M46)</f>
        <v>0</v>
      </c>
      <c r="N47" s="171">
        <f t="shared" si="10"/>
        <v>0</v>
      </c>
      <c r="O47" s="196" t="e">
        <f t="shared" si="10"/>
        <v>#DIV/0!</v>
      </c>
      <c r="P47" s="197">
        <f t="shared" si="10"/>
        <v>0</v>
      </c>
      <c r="Q47" s="196" t="e">
        <f>SUM(Q36:Q46)</f>
        <v>#DIV/0!</v>
      </c>
      <c r="R47" s="83" t="e">
        <f t="shared" si="2"/>
        <v>#DIV/0!</v>
      </c>
      <c r="S47" s="93">
        <f>SUM(S36:S46)</f>
        <v>0</v>
      </c>
      <c r="T47" s="94">
        <f>SUM(T36:T46)</f>
        <v>0</v>
      </c>
      <c r="U47" s="95" t="e">
        <f t="shared" si="9"/>
        <v>#DIV/0!</v>
      </c>
    </row>
    <row r="48" spans="1:21" s="97" customFormat="1" outlineLevel="1" x14ac:dyDescent="0.3">
      <c r="A48" s="96" t="s">
        <v>80</v>
      </c>
      <c r="B48" s="127">
        <v>0</v>
      </c>
      <c r="C48" s="179">
        <v>0</v>
      </c>
      <c r="D48" s="176">
        <v>0</v>
      </c>
      <c r="E48" s="333"/>
      <c r="F48" s="176"/>
      <c r="G48" s="216">
        <f t="shared" si="1"/>
        <v>0</v>
      </c>
      <c r="H48" s="152">
        <f>$C$48*H13</f>
        <v>0</v>
      </c>
      <c r="I48" s="153">
        <f>$C$48*I13</f>
        <v>0</v>
      </c>
      <c r="J48" s="153">
        <f>$C$48*J13</f>
        <v>0</v>
      </c>
      <c r="K48" s="153">
        <f>$C$48*K13</f>
        <v>0</v>
      </c>
      <c r="L48" s="80">
        <f>C48-H48-I48-J48-K48</f>
        <v>0</v>
      </c>
      <c r="M48" s="149">
        <f>D48</f>
        <v>0</v>
      </c>
      <c r="N48" s="150"/>
      <c r="O48" s="150"/>
      <c r="P48" s="151"/>
      <c r="Q48" s="150"/>
      <c r="R48" s="83">
        <f t="shared" si="2"/>
        <v>0</v>
      </c>
      <c r="S48" s="388"/>
      <c r="T48" s="151"/>
      <c r="U48" s="95">
        <f t="shared" si="9"/>
        <v>0</v>
      </c>
    </row>
    <row r="49" spans="1:21" outlineLevel="1" x14ac:dyDescent="0.3">
      <c r="A49" s="87" t="s">
        <v>29</v>
      </c>
      <c r="B49" s="128"/>
      <c r="C49" s="180"/>
      <c r="D49" s="181">
        <v>0</v>
      </c>
      <c r="E49" s="204"/>
      <c r="F49" s="181"/>
      <c r="G49" s="216" t="e">
        <f>B49-SUM(H49:K49)-SUM(M49:Q49)-S49-T49</f>
        <v>#DIV/0!</v>
      </c>
      <c r="H49" s="192"/>
      <c r="I49" s="165"/>
      <c r="J49" s="195"/>
      <c r="K49" s="195"/>
      <c r="L49" s="80">
        <f t="shared" ref="L49:L56" si="11">C49-H49-I49-J49-K49</f>
        <v>0</v>
      </c>
      <c r="M49" s="165"/>
      <c r="N49" s="193">
        <f>IF($J$6=1,$M$8,$M$9)*D49</f>
        <v>0</v>
      </c>
      <c r="O49" s="193" t="e">
        <f>IF($J$6=1,$N$8,$N$9)*D49</f>
        <v>#DIV/0!</v>
      </c>
      <c r="P49" s="193" t="e">
        <f>IF($J$6=1,$P$8,$P$9)*D49</f>
        <v>#DIV/0!</v>
      </c>
      <c r="Q49" s="193" t="e">
        <f>IF($J$6=1,$O$8,$O$9)*D49</f>
        <v>#DIV/0!</v>
      </c>
      <c r="R49" s="89" t="e">
        <f>D49-M49-N49-O49-P49-Q49</f>
        <v>#DIV/0!</v>
      </c>
      <c r="S49" s="389"/>
      <c r="T49" s="145"/>
      <c r="U49" s="95" t="e">
        <f t="shared" si="9"/>
        <v>#DIV/0!</v>
      </c>
    </row>
    <row r="50" spans="1:21" outlineLevel="1" x14ac:dyDescent="0.3">
      <c r="A50" s="87" t="s">
        <v>83</v>
      </c>
      <c r="B50" s="129"/>
      <c r="C50" s="180"/>
      <c r="D50" s="180"/>
      <c r="E50" s="204"/>
      <c r="F50" s="181"/>
      <c r="G50" s="216" t="e">
        <f t="shared" si="1"/>
        <v>#DIV/0!</v>
      </c>
      <c r="H50" s="192"/>
      <c r="I50" s="165"/>
      <c r="J50" s="195"/>
      <c r="K50" s="195"/>
      <c r="L50" s="80">
        <f t="shared" si="11"/>
        <v>0</v>
      </c>
      <c r="M50" s="165"/>
      <c r="N50" s="193">
        <f>IF($J$6=1,$M$8,$M$9)*D50</f>
        <v>0</v>
      </c>
      <c r="O50" s="193" t="e">
        <f>IF($J$6=1,$N$8,$N$9)*D50</f>
        <v>#DIV/0!</v>
      </c>
      <c r="P50" s="193" t="e">
        <f>IF($J$6=1,$P$8,$P$9)*D50</f>
        <v>#DIV/0!</v>
      </c>
      <c r="Q50" s="193" t="e">
        <f>IF($J$6=1,$O$8,$O$9)*D50</f>
        <v>#DIV/0!</v>
      </c>
      <c r="R50" s="89" t="e">
        <f>D50-M50-N50-O50-P50-Q50</f>
        <v>#DIV/0!</v>
      </c>
      <c r="S50" s="390"/>
      <c r="T50" s="145"/>
      <c r="U50" s="95" t="e">
        <f t="shared" si="9"/>
        <v>#DIV/0!</v>
      </c>
    </row>
    <row r="51" spans="1:21" s="102" customFormat="1" x14ac:dyDescent="0.3">
      <c r="A51" s="98" t="s">
        <v>8</v>
      </c>
      <c r="B51" s="137">
        <f>SUM(B48:B50)</f>
        <v>0</v>
      </c>
      <c r="C51" s="181">
        <v>0</v>
      </c>
      <c r="D51" s="181">
        <v>0</v>
      </c>
      <c r="E51" s="181">
        <f t="shared" ref="E51:F51" si="12">SUM(E48:E50)</f>
        <v>0</v>
      </c>
      <c r="F51" s="181">
        <f t="shared" si="12"/>
        <v>0</v>
      </c>
      <c r="G51" s="216" t="e">
        <f t="shared" si="1"/>
        <v>#DIV/0!</v>
      </c>
      <c r="H51" s="199">
        <f t="shared" ref="H51:Q51" si="13">H48+H49+H50</f>
        <v>0</v>
      </c>
      <c r="I51" s="198">
        <f t="shared" si="13"/>
        <v>0</v>
      </c>
      <c r="J51" s="198">
        <f t="shared" si="13"/>
        <v>0</v>
      </c>
      <c r="K51" s="198">
        <f t="shared" si="13"/>
        <v>0</v>
      </c>
      <c r="L51" s="99">
        <f>C51-H51-I51-J51-K51</f>
        <v>0</v>
      </c>
      <c r="M51" s="339">
        <f t="shared" si="13"/>
        <v>0</v>
      </c>
      <c r="N51" s="339">
        <f t="shared" si="13"/>
        <v>0</v>
      </c>
      <c r="O51" s="339" t="e">
        <f t="shared" si="13"/>
        <v>#DIV/0!</v>
      </c>
      <c r="P51" s="339" t="e">
        <f t="shared" si="13"/>
        <v>#DIV/0!</v>
      </c>
      <c r="Q51" s="339" t="e">
        <f t="shared" si="13"/>
        <v>#DIV/0!</v>
      </c>
      <c r="R51" s="340" t="e">
        <f>D51-M51-N51-O51-P51-Q51</f>
        <v>#DIV/0!</v>
      </c>
      <c r="S51" s="100">
        <f>S48+S49+S50</f>
        <v>0</v>
      </c>
      <c r="T51" s="101">
        <f>T48+T49+T50</f>
        <v>0</v>
      </c>
      <c r="U51" s="95" t="e">
        <f t="shared" si="9"/>
        <v>#DIV/0!</v>
      </c>
    </row>
    <row r="52" spans="1:21" outlineLevel="1" x14ac:dyDescent="0.3">
      <c r="A52" s="87" t="s">
        <v>30</v>
      </c>
      <c r="B52" s="133"/>
      <c r="C52" s="182"/>
      <c r="D52" s="337"/>
      <c r="E52" s="346"/>
      <c r="F52" s="179"/>
      <c r="G52" s="216">
        <f t="shared" si="1"/>
        <v>0</v>
      </c>
      <c r="H52" s="144"/>
      <c r="I52" s="143"/>
      <c r="J52" s="145"/>
      <c r="K52" s="145"/>
      <c r="L52" s="80">
        <f t="shared" si="11"/>
        <v>0</v>
      </c>
      <c r="M52" s="338"/>
      <c r="N52" s="338"/>
      <c r="O52" s="338"/>
      <c r="P52" s="338"/>
      <c r="Q52" s="338"/>
      <c r="R52" s="338"/>
      <c r="S52" s="391"/>
      <c r="T52" s="145"/>
      <c r="U52" s="95">
        <f t="shared" si="9"/>
        <v>0</v>
      </c>
    </row>
    <row r="53" spans="1:21" outlineLevel="1" x14ac:dyDescent="0.3">
      <c r="A53" s="87" t="s">
        <v>182</v>
      </c>
      <c r="B53" s="133"/>
      <c r="C53" s="182"/>
      <c r="D53" s="337"/>
      <c r="E53" s="346"/>
      <c r="F53" s="179"/>
      <c r="G53" s="216">
        <f t="shared" si="1"/>
        <v>0</v>
      </c>
      <c r="H53" s="144"/>
      <c r="I53" s="143"/>
      <c r="J53" s="145"/>
      <c r="K53" s="145"/>
      <c r="L53" s="80">
        <f t="shared" si="11"/>
        <v>0</v>
      </c>
      <c r="M53" s="338"/>
      <c r="N53" s="338"/>
      <c r="O53" s="338"/>
      <c r="P53" s="338"/>
      <c r="Q53" s="338"/>
      <c r="R53" s="338"/>
      <c r="S53" s="392"/>
      <c r="T53" s="145"/>
      <c r="U53" s="95">
        <f t="shared" si="9"/>
        <v>0</v>
      </c>
    </row>
    <row r="54" spans="1:21" outlineLevel="1" x14ac:dyDescent="0.3">
      <c r="A54" s="87" t="s">
        <v>32</v>
      </c>
      <c r="B54" s="133">
        <v>0</v>
      </c>
      <c r="C54" s="182">
        <f>B54</f>
        <v>0</v>
      </c>
      <c r="D54" s="337"/>
      <c r="E54" s="346"/>
      <c r="F54" s="179"/>
      <c r="G54" s="216">
        <f t="shared" si="1"/>
        <v>0</v>
      </c>
      <c r="H54" s="144"/>
      <c r="I54" s="143"/>
      <c r="J54" s="145">
        <v>0</v>
      </c>
      <c r="K54" s="145"/>
      <c r="L54" s="80">
        <f>C54-H54-I54-J54-K54</f>
        <v>0</v>
      </c>
      <c r="M54" s="338"/>
      <c r="N54" s="338"/>
      <c r="O54" s="338"/>
      <c r="P54" s="338"/>
      <c r="Q54" s="338"/>
      <c r="R54" s="338"/>
      <c r="S54" s="392"/>
      <c r="T54" s="145"/>
      <c r="U54" s="95">
        <f t="shared" si="9"/>
        <v>0</v>
      </c>
    </row>
    <row r="55" spans="1:21" outlineLevel="1" x14ac:dyDescent="0.3">
      <c r="A55" s="87" t="s">
        <v>31</v>
      </c>
      <c r="B55" s="133">
        <v>0</v>
      </c>
      <c r="C55" s="183">
        <f>B55-SUM(H55:K55)-SUM(M55:Q55)-S55-T55</f>
        <v>0</v>
      </c>
      <c r="D55" s="337"/>
      <c r="E55" s="346"/>
      <c r="F55" s="179"/>
      <c r="G55" s="215"/>
      <c r="H55" s="144"/>
      <c r="I55" s="143"/>
      <c r="J55" s="145"/>
      <c r="K55" s="145"/>
      <c r="L55" s="80">
        <f>C55-H55-I55-J55-K55</f>
        <v>0</v>
      </c>
      <c r="M55" s="338"/>
      <c r="N55" s="338"/>
      <c r="O55" s="338"/>
      <c r="P55" s="338"/>
      <c r="Q55" s="338"/>
      <c r="R55" s="338"/>
      <c r="S55" s="392"/>
      <c r="T55" s="145"/>
      <c r="U55" s="95">
        <f t="shared" si="9"/>
        <v>0</v>
      </c>
    </row>
    <row r="56" spans="1:21" outlineLevel="1" x14ac:dyDescent="0.3">
      <c r="A56" s="87" t="s">
        <v>296</v>
      </c>
      <c r="B56" s="133">
        <v>0</v>
      </c>
      <c r="C56" s="182">
        <f>B56</f>
        <v>0</v>
      </c>
      <c r="D56" s="337"/>
      <c r="E56" s="346"/>
      <c r="F56" s="179"/>
      <c r="G56" s="216">
        <f>B56-SUM(H56:K56)-SUM(M56:Q56)-S56-T56</f>
        <v>0</v>
      </c>
      <c r="H56" s="144"/>
      <c r="I56" s="143"/>
      <c r="J56" s="145"/>
      <c r="K56" s="145"/>
      <c r="L56" s="80">
        <f t="shared" si="11"/>
        <v>0</v>
      </c>
      <c r="M56" s="338"/>
      <c r="N56" s="338"/>
      <c r="O56" s="338"/>
      <c r="P56" s="338"/>
      <c r="Q56" s="338"/>
      <c r="R56" s="338"/>
      <c r="S56" s="393"/>
      <c r="T56" s="145"/>
      <c r="U56" s="95">
        <f t="shared" si="9"/>
        <v>0</v>
      </c>
    </row>
    <row r="57" spans="1:21" s="173" customFormat="1" x14ac:dyDescent="0.3">
      <c r="A57" s="166" t="s">
        <v>9</v>
      </c>
      <c r="B57" s="200">
        <f>SUM(B52:B56)</f>
        <v>0</v>
      </c>
      <c r="C57" s="201"/>
      <c r="D57" s="201"/>
      <c r="E57" s="202"/>
      <c r="F57" s="202"/>
      <c r="G57" s="217">
        <f>B57-SUM(H57:K57)-SUM(M57:Q57)-S57-T57</f>
        <v>0</v>
      </c>
      <c r="H57" s="170">
        <f t="shared" ref="H57:K57" si="14">SUM(H52:H56)</f>
        <v>0</v>
      </c>
      <c r="I57" s="171">
        <f t="shared" si="14"/>
        <v>0</v>
      </c>
      <c r="J57" s="171">
        <f t="shared" si="14"/>
        <v>0</v>
      </c>
      <c r="K57" s="171">
        <f t="shared" si="14"/>
        <v>0</v>
      </c>
      <c r="L57" s="196">
        <f>SUM(L52:L56)</f>
        <v>0</v>
      </c>
      <c r="M57" s="341">
        <f t="shared" ref="M57:R57" si="15">SUM(M52:M56)</f>
        <v>0</v>
      </c>
      <c r="N57" s="341">
        <f t="shared" si="15"/>
        <v>0</v>
      </c>
      <c r="O57" s="341">
        <f t="shared" si="15"/>
        <v>0</v>
      </c>
      <c r="P57" s="342">
        <f t="shared" si="15"/>
        <v>0</v>
      </c>
      <c r="Q57" s="341">
        <f t="shared" si="15"/>
        <v>0</v>
      </c>
      <c r="R57" s="341">
        <f t="shared" si="15"/>
        <v>0</v>
      </c>
      <c r="S57" s="171">
        <f>SUM(S52:S56)</f>
        <v>0</v>
      </c>
      <c r="T57" s="171">
        <f>SUM(T52:T56)</f>
        <v>0</v>
      </c>
      <c r="U57" s="95">
        <f t="shared" si="9"/>
        <v>0</v>
      </c>
    </row>
    <row r="58" spans="1:21" outlineLevel="1" x14ac:dyDescent="0.3">
      <c r="A58" s="87" t="s">
        <v>52</v>
      </c>
      <c r="B58" s="128">
        <v>0</v>
      </c>
      <c r="C58" s="201"/>
      <c r="D58" s="184"/>
      <c r="E58" s="202"/>
      <c r="F58" s="202"/>
      <c r="G58" s="217">
        <f t="shared" ref="G58" si="16">B58-SUM(H58:K58)-SUM(M58:Q58)-S58-T58</f>
        <v>0</v>
      </c>
      <c r="H58" s="4"/>
      <c r="I58" s="4"/>
      <c r="J58" s="4"/>
      <c r="K58" s="4"/>
      <c r="M58" s="146"/>
      <c r="N58" s="146"/>
      <c r="O58" s="146"/>
      <c r="P58" s="159"/>
      <c r="Q58" s="143"/>
      <c r="R58" s="90">
        <f>B58-M58-N58-O58-P58-Q58+0.0000000001</f>
        <v>1E-10</v>
      </c>
      <c r="S58" s="165"/>
      <c r="T58" s="145"/>
      <c r="U58" s="95">
        <f t="shared" si="9"/>
        <v>0</v>
      </c>
    </row>
    <row r="59" spans="1:21" s="105" customFormat="1" outlineLevel="1" x14ac:dyDescent="0.3">
      <c r="A59" s="104" t="s">
        <v>53</v>
      </c>
      <c r="B59" s="131">
        <v>0</v>
      </c>
      <c r="C59" s="185">
        <v>0</v>
      </c>
      <c r="D59" s="186">
        <v>0</v>
      </c>
      <c r="E59" s="343"/>
      <c r="F59" s="186"/>
      <c r="G59" s="217">
        <f>B59-SUM(H59:K59)-SUM(M59:Q59)-S59-T59</f>
        <v>0</v>
      </c>
      <c r="H59" s="154"/>
      <c r="I59" s="154"/>
      <c r="J59" s="154"/>
      <c r="K59" s="154"/>
      <c r="L59" s="80">
        <f t="shared" ref="L59" si="17">C59-H59-I59-J59-K59</f>
        <v>0</v>
      </c>
      <c r="M59" s="146">
        <v>0</v>
      </c>
      <c r="N59" s="160"/>
      <c r="O59" s="146"/>
      <c r="P59" s="159"/>
      <c r="Q59" s="143"/>
      <c r="R59" s="90">
        <f>D59-M59-N59-O59-P59-Q59</f>
        <v>0</v>
      </c>
      <c r="S59" s="347"/>
      <c r="T59" s="208"/>
      <c r="U59" s="95">
        <f t="shared" si="9"/>
        <v>0</v>
      </c>
    </row>
    <row r="60" spans="1:21" ht="22.5" customHeight="1" outlineLevel="1" x14ac:dyDescent="0.3">
      <c r="A60" s="87" t="s">
        <v>54</v>
      </c>
      <c r="B60" s="124">
        <v>0</v>
      </c>
      <c r="C60" s="203" t="s">
        <v>91</v>
      </c>
      <c r="D60" s="187">
        <f>B60</f>
        <v>0</v>
      </c>
      <c r="E60" s="204"/>
      <c r="F60" s="181"/>
      <c r="G60" s="218">
        <f>B60-SUM(H60:K60)-SUM(M60:Q60)-S60-T60</f>
        <v>0</v>
      </c>
      <c r="H60" s="4"/>
      <c r="I60" s="4"/>
      <c r="J60" s="4"/>
      <c r="K60" s="4"/>
      <c r="M60" s="143">
        <v>0</v>
      </c>
      <c r="N60" s="143">
        <v>0</v>
      </c>
      <c r="O60" s="143">
        <v>0</v>
      </c>
      <c r="P60" s="145"/>
      <c r="Q60" s="143"/>
      <c r="R60" s="83">
        <f>D60-M60-N60-O60-P60</f>
        <v>0</v>
      </c>
      <c r="S60" s="165"/>
      <c r="T60" s="145"/>
      <c r="U60" s="95">
        <f t="shared" si="9"/>
        <v>0</v>
      </c>
    </row>
    <row r="61" spans="1:21" s="173" customFormat="1" x14ac:dyDescent="0.3">
      <c r="A61" s="166" t="s">
        <v>10</v>
      </c>
      <c r="B61" s="166"/>
      <c r="C61" s="203"/>
      <c r="D61" s="203"/>
      <c r="E61" s="204"/>
      <c r="F61" s="204"/>
      <c r="G61" s="219">
        <f>SUM(G58:G60)</f>
        <v>0</v>
      </c>
      <c r="H61" s="205">
        <f>SUM(H59:H59)</f>
        <v>0</v>
      </c>
      <c r="I61" s="196">
        <f>SUM(I59:I59)</f>
        <v>0</v>
      </c>
      <c r="J61" s="196">
        <f>SUM(J59:J59)</f>
        <v>0</v>
      </c>
      <c r="K61" s="171">
        <f>SUM(K59:K59)</f>
        <v>0</v>
      </c>
      <c r="L61" s="196">
        <f>SUM(L58:L59)</f>
        <v>0</v>
      </c>
      <c r="M61" s="171">
        <f t="shared" ref="M61:Q61" si="18">SUM(M58:M60)</f>
        <v>0</v>
      </c>
      <c r="N61" s="171">
        <f t="shared" si="18"/>
        <v>0</v>
      </c>
      <c r="O61" s="171">
        <f t="shared" si="18"/>
        <v>0</v>
      </c>
      <c r="P61" s="172">
        <f t="shared" si="18"/>
        <v>0</v>
      </c>
      <c r="Q61" s="171">
        <f t="shared" si="18"/>
        <v>0</v>
      </c>
      <c r="R61" s="206">
        <f>SUM(R58:R60)</f>
        <v>1E-10</v>
      </c>
      <c r="S61" s="171">
        <f>SUM(S58:S60)</f>
        <v>0</v>
      </c>
      <c r="T61" s="172">
        <f>SUM(T58:T60)</f>
        <v>0</v>
      </c>
      <c r="U61" s="95">
        <f t="shared" si="9"/>
        <v>0</v>
      </c>
    </row>
    <row r="62" spans="1:21" s="95" customFormat="1" x14ac:dyDescent="0.3">
      <c r="A62" s="348" t="s">
        <v>11</v>
      </c>
      <c r="B62" s="349">
        <v>0</v>
      </c>
      <c r="C62" s="350">
        <f>0.18*B62</f>
        <v>0</v>
      </c>
      <c r="D62" s="352"/>
      <c r="E62" s="352"/>
      <c r="F62" s="352"/>
      <c r="G62" s="220">
        <f t="shared" ref="G62:G72" si="19">B62-SUM(H62:K62)-SUM(M62:Q62)-S62-T62</f>
        <v>0</v>
      </c>
      <c r="H62" s="154">
        <f>V6*C62</f>
        <v>0</v>
      </c>
      <c r="I62" s="148">
        <f>V5*C62</f>
        <v>0</v>
      </c>
      <c r="J62" s="353">
        <f>C62*V4</f>
        <v>0</v>
      </c>
      <c r="K62" s="353">
        <f>C62*V3</f>
        <v>0</v>
      </c>
      <c r="L62" s="107">
        <f>C62-H62-I62-J62-K62</f>
        <v>0</v>
      </c>
      <c r="M62" s="148">
        <f>$S$3*D62</f>
        <v>0</v>
      </c>
      <c r="N62" s="148">
        <f>$D$62*S2</f>
        <v>0</v>
      </c>
      <c r="O62" s="148">
        <f>$S$4*D62</f>
        <v>0</v>
      </c>
      <c r="P62" s="148">
        <f>$S$6*D62</f>
        <v>0</v>
      </c>
      <c r="Q62" s="161"/>
      <c r="R62" s="354">
        <f>D62-M62-N62-O62-P62</f>
        <v>0</v>
      </c>
      <c r="S62" s="93">
        <v>0</v>
      </c>
      <c r="T62" s="94"/>
      <c r="U62" s="95">
        <f t="shared" si="9"/>
        <v>0</v>
      </c>
    </row>
    <row r="63" spans="1:21" s="95" customFormat="1" x14ac:dyDescent="0.3">
      <c r="A63" s="348" t="s">
        <v>12</v>
      </c>
      <c r="B63" s="349">
        <v>0</v>
      </c>
      <c r="C63" s="350">
        <f>0.18*B63</f>
        <v>0</v>
      </c>
      <c r="D63" s="351">
        <f>0.82*B63</f>
        <v>0</v>
      </c>
      <c r="E63" s="352" t="s">
        <v>91</v>
      </c>
      <c r="F63" s="352"/>
      <c r="G63" s="220">
        <f>B63-SUM(H63:K63)-SUM(M63:Q63)-S63-T63</f>
        <v>0</v>
      </c>
      <c r="H63" s="148">
        <f>C63*V6</f>
        <v>0</v>
      </c>
      <c r="I63" s="148">
        <f>V5*C63</f>
        <v>0</v>
      </c>
      <c r="J63" s="353">
        <f>V4*C63</f>
        <v>0</v>
      </c>
      <c r="K63" s="353">
        <f>C63*V3</f>
        <v>0</v>
      </c>
      <c r="L63" s="107">
        <f>C63-H63-I63-J63</f>
        <v>0</v>
      </c>
      <c r="M63" s="148">
        <f>$S$3*D63</f>
        <v>0</v>
      </c>
      <c r="N63" s="148">
        <f>D63*S2</f>
        <v>0</v>
      </c>
      <c r="O63" s="148">
        <f>$S$4*D63</f>
        <v>0</v>
      </c>
      <c r="P63" s="148">
        <f>$S$6*D63</f>
        <v>0</v>
      </c>
      <c r="Q63" s="161">
        <v>0</v>
      </c>
      <c r="R63" s="354">
        <f>D63-M63-N63-O63-P63-Q63</f>
        <v>0</v>
      </c>
      <c r="S63" s="209">
        <v>0</v>
      </c>
      <c r="T63" s="210">
        <v>0</v>
      </c>
      <c r="U63" s="95">
        <f>SUM(M63:Q63)+S63+T63</f>
        <v>0</v>
      </c>
    </row>
    <row r="64" spans="1:21" s="95" customFormat="1" ht="17.25" customHeight="1" x14ac:dyDescent="0.3">
      <c r="A64" s="348" t="s">
        <v>81</v>
      </c>
      <c r="B64" s="355">
        <v>0</v>
      </c>
      <c r="C64" s="356">
        <v>0</v>
      </c>
      <c r="D64" s="357"/>
      <c r="E64" s="358">
        <v>0</v>
      </c>
      <c r="F64" s="359"/>
      <c r="G64" s="220">
        <f>B64-SUM(H64:K64)-SUM(M64:Q64)-S64-T64</f>
        <v>0</v>
      </c>
      <c r="H64" s="154">
        <f>(H11/$L$11)*$C$64</f>
        <v>0</v>
      </c>
      <c r="I64" s="148">
        <f>(I11/$L$11)*$C$64</f>
        <v>0</v>
      </c>
      <c r="J64" s="148">
        <f>(J11/$L$11)*$C$64</f>
        <v>0</v>
      </c>
      <c r="K64" s="148">
        <f>(K11/$L$11)*$C$64</f>
        <v>0</v>
      </c>
      <c r="L64" s="107">
        <f>C64-H64-I64-J64-K64</f>
        <v>0</v>
      </c>
      <c r="M64" s="404"/>
      <c r="N64" s="405"/>
      <c r="O64" s="405"/>
      <c r="P64" s="405"/>
      <c r="Q64" s="406"/>
      <c r="R64" s="93">
        <f>D64-M64-N64-O64-P64</f>
        <v>0</v>
      </c>
      <c r="S64" s="95">
        <f>E64</f>
        <v>0</v>
      </c>
      <c r="T64" s="94">
        <v>0</v>
      </c>
      <c r="U64" s="95">
        <f t="shared" si="9"/>
        <v>0</v>
      </c>
    </row>
    <row r="65" spans="1:21" ht="26.25" customHeight="1" outlineLevel="1" x14ac:dyDescent="0.3">
      <c r="A65" s="87" t="s">
        <v>49</v>
      </c>
      <c r="B65" s="128">
        <v>0</v>
      </c>
      <c r="C65" s="204"/>
      <c r="D65" s="204"/>
      <c r="E65" s="181"/>
      <c r="F65" s="181"/>
      <c r="G65" s="220">
        <f t="shared" si="19"/>
        <v>0</v>
      </c>
      <c r="H65" s="407"/>
      <c r="I65" s="407"/>
      <c r="J65" s="407"/>
      <c r="K65" s="407"/>
      <c r="L65" s="103">
        <f t="shared" ref="L65:L67" si="20">C65-H65-I65-J65-K65</f>
        <v>0</v>
      </c>
      <c r="M65" s="146">
        <v>0</v>
      </c>
      <c r="N65" s="146">
        <v>0</v>
      </c>
      <c r="O65" s="146">
        <v>0</v>
      </c>
      <c r="P65" s="147"/>
      <c r="Q65" s="143">
        <v>0</v>
      </c>
      <c r="R65" s="83">
        <f>D65-M65-N65-O65-P65</f>
        <v>0</v>
      </c>
      <c r="S65" s="145"/>
      <c r="T65" s="145"/>
      <c r="U65" s="95">
        <f t="shared" si="9"/>
        <v>0</v>
      </c>
    </row>
    <row r="66" spans="1:21" ht="24" customHeight="1" outlineLevel="1" x14ac:dyDescent="0.3">
      <c r="A66" s="87" t="s">
        <v>50</v>
      </c>
      <c r="B66" s="124">
        <v>0</v>
      </c>
      <c r="C66" s="187">
        <v>0</v>
      </c>
      <c r="D66" s="203"/>
      <c r="E66" s="204"/>
      <c r="F66" s="181"/>
      <c r="G66" s="220">
        <f>B66-SUM(H66:K66)-SUM(M66:Q66)-S66-T66</f>
        <v>0</v>
      </c>
      <c r="H66" s="155"/>
      <c r="I66" s="155"/>
      <c r="J66" s="155"/>
      <c r="K66" s="155"/>
      <c r="L66" s="103">
        <f t="shared" si="20"/>
        <v>0</v>
      </c>
      <c r="M66" s="397"/>
      <c r="N66" s="398"/>
      <c r="O66" s="398"/>
      <c r="P66" s="398"/>
      <c r="Q66" s="399"/>
      <c r="R66" s="83">
        <f t="shared" ref="R66:R67" si="21">D66-M66-N66-O66-P66</f>
        <v>0</v>
      </c>
      <c r="S66" s="145"/>
      <c r="T66" s="145"/>
      <c r="U66" s="95">
        <f t="shared" si="9"/>
        <v>0</v>
      </c>
    </row>
    <row r="67" spans="1:21" ht="27" customHeight="1" outlineLevel="1" x14ac:dyDescent="0.3">
      <c r="A67" s="87" t="s">
        <v>51</v>
      </c>
      <c r="B67" s="124">
        <v>0</v>
      </c>
      <c r="C67" s="337"/>
      <c r="D67" s="187">
        <f>B67</f>
        <v>0</v>
      </c>
      <c r="E67" s="204"/>
      <c r="F67" s="181"/>
      <c r="G67" s="220">
        <f t="shared" si="19"/>
        <v>0</v>
      </c>
      <c r="H67" s="144"/>
      <c r="I67" s="143"/>
      <c r="J67" s="145"/>
      <c r="K67" s="145"/>
      <c r="L67" s="103">
        <f t="shared" si="20"/>
        <v>0</v>
      </c>
      <c r="M67" s="147"/>
      <c r="N67" s="146">
        <v>0</v>
      </c>
      <c r="O67" s="146">
        <v>0</v>
      </c>
      <c r="P67" s="147"/>
      <c r="Q67" s="143"/>
      <c r="R67" s="83">
        <f t="shared" si="21"/>
        <v>0</v>
      </c>
      <c r="S67" s="145"/>
      <c r="T67" s="145"/>
      <c r="U67" s="95">
        <f t="shared" si="9"/>
        <v>0</v>
      </c>
    </row>
    <row r="68" spans="1:21" s="173" customFormat="1" x14ac:dyDescent="0.3">
      <c r="A68" s="166" t="s">
        <v>299</v>
      </c>
      <c r="B68" s="167">
        <f>SUM(B66:B67)+B65</f>
        <v>0</v>
      </c>
      <c r="C68" s="167">
        <f>SUM(C66:C67)+C65</f>
        <v>0</v>
      </c>
      <c r="D68" s="167">
        <f>SUM(D66:D67)+D65</f>
        <v>0</v>
      </c>
      <c r="E68" s="167">
        <f>SUM(E66:E67)+E65</f>
        <v>0</v>
      </c>
      <c r="F68" s="167">
        <f>SUM(F66:F67)+F65</f>
        <v>0</v>
      </c>
      <c r="G68" s="221">
        <f t="shared" si="19"/>
        <v>0</v>
      </c>
      <c r="H68" s="196">
        <f>SUM(H65:H66)</f>
        <v>0</v>
      </c>
      <c r="I68" s="196">
        <f>SUM(I65:I66)</f>
        <v>0</v>
      </c>
      <c r="J68" s="196">
        <f>SUM(J65:J66)</f>
        <v>0</v>
      </c>
      <c r="K68" s="171">
        <f>SUM(K65:K66)</f>
        <v>0</v>
      </c>
      <c r="L68" s="207">
        <f t="shared" ref="L68:Q68" si="22">SUM(L65:L67)</f>
        <v>0</v>
      </c>
      <c r="M68" s="196">
        <f t="shared" si="22"/>
        <v>0</v>
      </c>
      <c r="N68" s="196">
        <f t="shared" si="22"/>
        <v>0</v>
      </c>
      <c r="O68" s="196">
        <f t="shared" si="22"/>
        <v>0</v>
      </c>
      <c r="P68" s="197">
        <f t="shared" si="22"/>
        <v>0</v>
      </c>
      <c r="Q68" s="171">
        <f t="shared" si="22"/>
        <v>0</v>
      </c>
      <c r="R68" s="196">
        <f>D68-M68-N68-O68-P68-Q68</f>
        <v>0</v>
      </c>
      <c r="S68" s="171">
        <f>SUM(S65:S67)</f>
        <v>0</v>
      </c>
      <c r="T68" s="172">
        <f>SUM(T65:T67)</f>
        <v>0</v>
      </c>
      <c r="U68" s="95">
        <f t="shared" si="9"/>
        <v>0</v>
      </c>
    </row>
    <row r="69" spans="1:21" s="173" customFormat="1" outlineLevel="1" x14ac:dyDescent="0.3">
      <c r="A69" s="87" t="s">
        <v>317</v>
      </c>
      <c r="B69" s="167"/>
      <c r="C69" s="203"/>
      <c r="D69" s="203"/>
      <c r="E69" s="204"/>
      <c r="F69" s="181"/>
      <c r="G69" s="221"/>
      <c r="H69" s="378"/>
      <c r="I69" s="378"/>
      <c r="J69" s="378"/>
      <c r="K69" s="200"/>
      <c r="L69" s="207"/>
      <c r="M69" s="196"/>
      <c r="N69" s="196"/>
      <c r="O69" s="196"/>
      <c r="P69" s="377"/>
      <c r="Q69" s="200"/>
      <c r="R69" s="196"/>
      <c r="S69" s="171"/>
      <c r="T69" s="172"/>
      <c r="U69" s="95"/>
    </row>
    <row r="70" spans="1:21" s="173" customFormat="1" outlineLevel="1" x14ac:dyDescent="0.3">
      <c r="A70" s="87" t="s">
        <v>318</v>
      </c>
      <c r="B70" s="167"/>
      <c r="C70" s="187"/>
      <c r="D70" s="203"/>
      <c r="E70" s="204"/>
      <c r="F70" s="181"/>
      <c r="G70" s="221"/>
      <c r="H70" s="144"/>
      <c r="I70" s="143"/>
      <c r="J70" s="145"/>
      <c r="K70" s="145"/>
      <c r="L70" s="207"/>
      <c r="M70" s="144"/>
      <c r="N70" s="143"/>
      <c r="O70" s="145"/>
      <c r="P70" s="143"/>
      <c r="Q70" s="143"/>
      <c r="R70" s="196"/>
      <c r="S70" s="143"/>
      <c r="T70" s="143"/>
      <c r="U70" s="95"/>
    </row>
    <row r="71" spans="1:21" s="173" customFormat="1" outlineLevel="1" x14ac:dyDescent="0.3">
      <c r="A71" s="87" t="s">
        <v>319</v>
      </c>
      <c r="B71" s="167"/>
      <c r="C71" s="337"/>
      <c r="D71" s="187"/>
      <c r="E71" s="204"/>
      <c r="F71" s="181"/>
      <c r="G71" s="221"/>
      <c r="H71" s="144"/>
      <c r="I71" s="143"/>
      <c r="J71" s="145"/>
      <c r="K71" s="145"/>
      <c r="L71" s="207"/>
      <c r="M71" s="144"/>
      <c r="N71" s="143"/>
      <c r="O71" s="145"/>
      <c r="P71" s="143"/>
      <c r="Q71" s="143"/>
      <c r="R71" s="196"/>
      <c r="S71" s="143"/>
      <c r="T71" s="143"/>
      <c r="U71" s="95"/>
    </row>
    <row r="72" spans="1:21" s="95" customFormat="1" x14ac:dyDescent="0.3">
      <c r="A72" s="106" t="s">
        <v>13</v>
      </c>
      <c r="B72" s="123">
        <f>SUM(B69:B71)</f>
        <v>0</v>
      </c>
      <c r="C72" s="123">
        <f>SUM(C69:C71)</f>
        <v>0</v>
      </c>
      <c r="D72" s="123">
        <f t="shared" ref="D72:F72" si="23">SUM(D69:D71)</f>
        <v>0</v>
      </c>
      <c r="E72" s="123">
        <f t="shared" si="23"/>
        <v>0</v>
      </c>
      <c r="F72" s="123">
        <f t="shared" si="23"/>
        <v>0</v>
      </c>
      <c r="G72" s="220">
        <f t="shared" si="19"/>
        <v>0</v>
      </c>
      <c r="H72" s="156">
        <f>SUM(H69:H71)</f>
        <v>0</v>
      </c>
      <c r="I72" s="156">
        <f>SUM(I69:I71)</f>
        <v>0</v>
      </c>
      <c r="J72" s="156">
        <f t="shared" ref="J72:K72" si="24">SUM(J69:J71)</f>
        <v>0</v>
      </c>
      <c r="K72" s="156">
        <f t="shared" si="24"/>
        <v>0</v>
      </c>
      <c r="L72" s="103">
        <f t="shared" ref="L72" si="25">C72-H72-I72-J72</f>
        <v>0</v>
      </c>
      <c r="M72" s="148">
        <f>SUM(M69:M71)</f>
        <v>0</v>
      </c>
      <c r="N72" s="148">
        <f t="shared" ref="N72:Q72" si="26">SUM(N69:N71)</f>
        <v>0</v>
      </c>
      <c r="O72" s="148">
        <f t="shared" si="26"/>
        <v>0</v>
      </c>
      <c r="P72" s="148">
        <f t="shared" si="26"/>
        <v>0</v>
      </c>
      <c r="Q72" s="148">
        <f t="shared" si="26"/>
        <v>0</v>
      </c>
      <c r="R72" s="89">
        <f>D72-M72-N72-O72-P72-Q72</f>
        <v>0</v>
      </c>
      <c r="S72" s="209">
        <f>SUM(S69:S71)</f>
        <v>0</v>
      </c>
      <c r="T72" s="209">
        <f>SUM(T69:T71)</f>
        <v>0</v>
      </c>
      <c r="U72" s="95">
        <f t="shared" si="9"/>
        <v>0</v>
      </c>
    </row>
    <row r="73" spans="1:21" x14ac:dyDescent="0.3">
      <c r="A73" s="36" t="s">
        <v>91</v>
      </c>
      <c r="C73" s="157"/>
      <c r="D73" s="157"/>
      <c r="E73" s="157"/>
      <c r="F73" s="157"/>
      <c r="G73" s="222"/>
      <c r="R73" s="83"/>
    </row>
    <row r="74" spans="1:21" s="95" customFormat="1" x14ac:dyDescent="0.3">
      <c r="A74" s="108" t="s">
        <v>14</v>
      </c>
      <c r="B74" s="132"/>
      <c r="C74" s="157"/>
      <c r="D74" s="157"/>
      <c r="E74" s="157"/>
      <c r="F74" s="157"/>
      <c r="G74" s="222" t="e">
        <f>G20+G35+G21+G51+#REF!+G61+#REF!+G64+G68+B63+G72</f>
        <v>#DIV/0!</v>
      </c>
      <c r="H74" s="107">
        <f t="shared" ref="H74:Q74" si="27">H20+H35+H47+H51+H57+H61+H62+H64+H68+H63+H72</f>
        <v>0</v>
      </c>
      <c r="I74" s="107">
        <f t="shared" si="27"/>
        <v>0</v>
      </c>
      <c r="J74" s="107">
        <f t="shared" si="27"/>
        <v>0</v>
      </c>
      <c r="K74" s="107">
        <f t="shared" si="27"/>
        <v>0</v>
      </c>
      <c r="L74" s="107">
        <f t="shared" si="27"/>
        <v>0</v>
      </c>
      <c r="M74" s="107">
        <f t="shared" si="27"/>
        <v>0</v>
      </c>
      <c r="N74" s="107">
        <f t="shared" si="27"/>
        <v>0</v>
      </c>
      <c r="O74" s="107" t="e">
        <f t="shared" si="27"/>
        <v>#DIV/0!</v>
      </c>
      <c r="P74" s="107" t="e">
        <f t="shared" si="27"/>
        <v>#DIV/0!</v>
      </c>
      <c r="Q74" s="107" t="e">
        <f t="shared" si="27"/>
        <v>#DIV/0!</v>
      </c>
      <c r="R74" s="93"/>
      <c r="S74" s="135" t="e">
        <f>#REF!+#REF!+#REF!+#REF!+#REF!+#REF!+B62+#REF!+#REF!+#REF!+#REF!</f>
        <v>#REF!</v>
      </c>
      <c r="T74" s="95">
        <f>S20+S35+S47+S51+S57+S61+S62+E64+S68+S63+S72</f>
        <v>0</v>
      </c>
      <c r="U74" s="95">
        <f>T20+T35+T47+T51+T57+T61+T62+T64+T68+T63+T72</f>
        <v>0</v>
      </c>
    </row>
    <row r="75" spans="1:21" x14ac:dyDescent="0.3">
      <c r="A75" s="36" t="s">
        <v>15</v>
      </c>
      <c r="C75" s="157"/>
      <c r="D75" s="157"/>
      <c r="E75" s="157"/>
      <c r="F75" s="157"/>
      <c r="G75" s="222"/>
      <c r="H75" s="103">
        <f>H11</f>
        <v>1</v>
      </c>
      <c r="I75" s="37">
        <f>I11</f>
        <v>1</v>
      </c>
      <c r="J75" s="37">
        <f>J11</f>
        <v>1</v>
      </c>
      <c r="K75" s="37">
        <f>K11</f>
        <v>1</v>
      </c>
      <c r="M75" s="360">
        <v>0</v>
      </c>
      <c r="N75" s="360">
        <v>0</v>
      </c>
      <c r="O75" s="360">
        <v>0</v>
      </c>
      <c r="P75" s="360">
        <v>0</v>
      </c>
      <c r="Q75" s="360">
        <v>0</v>
      </c>
      <c r="R75" s="83"/>
    </row>
    <row r="76" spans="1:21" x14ac:dyDescent="0.3">
      <c r="C76" s="157"/>
      <c r="D76" s="157"/>
      <c r="E76" s="157"/>
      <c r="F76" s="157"/>
      <c r="G76" s="222"/>
      <c r="R76" s="83"/>
    </row>
    <row r="77" spans="1:21" s="95" customFormat="1" x14ac:dyDescent="0.3">
      <c r="A77" s="108" t="s">
        <v>16</v>
      </c>
      <c r="B77" s="132"/>
      <c r="C77" s="157"/>
      <c r="D77" s="157"/>
      <c r="E77" s="157"/>
      <c r="F77" s="157"/>
      <c r="G77" s="222"/>
      <c r="H77" s="107">
        <f t="shared" ref="H77:N77" si="28">H74/H75</f>
        <v>0</v>
      </c>
      <c r="I77" s="107">
        <f t="shared" si="28"/>
        <v>0</v>
      </c>
      <c r="J77" s="107">
        <f t="shared" si="28"/>
        <v>0</v>
      </c>
      <c r="K77" s="107">
        <f t="shared" si="28"/>
        <v>0</v>
      </c>
      <c r="M77" s="136" t="e">
        <f t="shared" si="28"/>
        <v>#DIV/0!</v>
      </c>
      <c r="N77" s="136" t="e">
        <f t="shared" si="28"/>
        <v>#DIV/0!</v>
      </c>
      <c r="O77" s="136" t="e">
        <f>O74/O75</f>
        <v>#DIV/0!</v>
      </c>
      <c r="P77" s="136" t="e">
        <f>P74/P75</f>
        <v>#DIV/0!</v>
      </c>
      <c r="Q77" s="136" t="e">
        <f>Q74/Q75</f>
        <v>#DIV/0!</v>
      </c>
      <c r="R77" s="93"/>
      <c r="S77" s="135"/>
      <c r="T77" s="95" t="e">
        <f>T74/Q75</f>
        <v>#DIV/0!</v>
      </c>
      <c r="U77" s="95" t="e">
        <f>U74/U76</f>
        <v>#DIV/0!</v>
      </c>
    </row>
    <row r="78" spans="1:21" x14ac:dyDescent="0.3">
      <c r="C78" s="157"/>
      <c r="D78" s="157"/>
      <c r="E78" s="157"/>
      <c r="F78" s="157"/>
      <c r="G78" s="222"/>
      <c r="M78" s="57" t="e">
        <f>SUM(M77:Q77)</f>
        <v>#DIV/0!</v>
      </c>
      <c r="R78" s="83"/>
    </row>
    <row r="79" spans="1:21" ht="2.25" customHeight="1" x14ac:dyDescent="0.3">
      <c r="A79" s="108" t="s">
        <v>94</v>
      </c>
      <c r="B79" s="132"/>
      <c r="C79" s="157"/>
      <c r="D79" s="157"/>
      <c r="E79" s="157"/>
      <c r="F79" s="157"/>
      <c r="G79" s="222"/>
      <c r="R79" s="83"/>
    </row>
    <row r="80" spans="1:21" hidden="1" x14ac:dyDescent="0.3">
      <c r="A80" s="36" t="s">
        <v>96</v>
      </c>
      <c r="G80" s="223"/>
      <c r="M80" s="109">
        <f>$R$80/3</f>
        <v>1420906.6666666667</v>
      </c>
      <c r="N80" s="109">
        <f>$R$80/3</f>
        <v>1420906.6666666667</v>
      </c>
      <c r="O80" s="109">
        <f>$R$80/3</f>
        <v>1420906.6666666667</v>
      </c>
      <c r="R80" s="83">
        <v>4262720</v>
      </c>
    </row>
    <row r="81" spans="1:19" hidden="1" x14ac:dyDescent="0.3">
      <c r="A81" s="36" t="s">
        <v>178</v>
      </c>
      <c r="G81" s="223"/>
      <c r="M81" s="109"/>
      <c r="N81" s="109">
        <v>1569190</v>
      </c>
      <c r="O81" s="109"/>
      <c r="R81" s="83"/>
    </row>
    <row r="82" spans="1:19" hidden="1" x14ac:dyDescent="0.3">
      <c r="A82" s="36" t="s">
        <v>97</v>
      </c>
      <c r="G82" s="223"/>
      <c r="M82" s="109"/>
      <c r="N82" s="109"/>
      <c r="O82" s="109">
        <v>818740</v>
      </c>
      <c r="R82" s="83"/>
    </row>
    <row r="83" spans="1:19" hidden="1" x14ac:dyDescent="0.3">
      <c r="A83" s="36" t="s">
        <v>98</v>
      </c>
      <c r="G83" s="223"/>
      <c r="L83" s="109">
        <v>1194240</v>
      </c>
      <c r="R83" s="83"/>
    </row>
    <row r="84" spans="1:19" hidden="1" x14ac:dyDescent="0.3">
      <c r="A84" s="36" t="s">
        <v>99</v>
      </c>
      <c r="G84" s="223"/>
      <c r="R84" s="83"/>
    </row>
    <row r="85" spans="1:19" hidden="1" x14ac:dyDescent="0.3">
      <c r="A85" s="36" t="s">
        <v>100</v>
      </c>
      <c r="G85" s="223"/>
      <c r="M85" s="109">
        <f>1251000/3</f>
        <v>417000</v>
      </c>
      <c r="N85" s="109">
        <f>1251000/3</f>
        <v>417000</v>
      </c>
      <c r="O85" s="109">
        <f>1251000/3</f>
        <v>417000</v>
      </c>
      <c r="R85" s="83"/>
    </row>
    <row r="86" spans="1:19" ht="10.5" hidden="1" customHeight="1" x14ac:dyDescent="0.3">
      <c r="A86" s="36" t="s">
        <v>76</v>
      </c>
      <c r="G86" s="223"/>
      <c r="P86" s="37">
        <v>81200</v>
      </c>
      <c r="R86" s="83"/>
    </row>
    <row r="87" spans="1:19" hidden="1" x14ac:dyDescent="0.3">
      <c r="A87" s="36" t="s">
        <v>179</v>
      </c>
      <c r="G87" s="223"/>
      <c r="M87" s="37">
        <v>678453</v>
      </c>
      <c r="R87" s="83"/>
    </row>
    <row r="88" spans="1:19" hidden="1" x14ac:dyDescent="0.3">
      <c r="A88" s="36" t="s">
        <v>101</v>
      </c>
      <c r="G88" s="223"/>
      <c r="L88" s="37">
        <v>102410</v>
      </c>
      <c r="R88" s="83"/>
    </row>
    <row r="89" spans="1:19" hidden="1" x14ac:dyDescent="0.3">
      <c r="A89" s="36" t="s">
        <v>180</v>
      </c>
      <c r="G89" s="223"/>
      <c r="N89" s="109">
        <v>1977805</v>
      </c>
      <c r="R89" s="110"/>
    </row>
    <row r="90" spans="1:19" hidden="1" x14ac:dyDescent="0.3">
      <c r="A90" s="36" t="s">
        <v>102</v>
      </c>
      <c r="G90" s="223"/>
      <c r="N90" s="109">
        <v>134946</v>
      </c>
      <c r="O90" s="111">
        <v>71552</v>
      </c>
      <c r="R90" s="110"/>
    </row>
    <row r="91" spans="1:19" hidden="1" x14ac:dyDescent="0.3">
      <c r="G91" s="223"/>
      <c r="R91" s="110"/>
    </row>
    <row r="92" spans="1:19" x14ac:dyDescent="0.3">
      <c r="A92" s="36" t="s">
        <v>298</v>
      </c>
      <c r="G92" s="224">
        <f t="shared" ref="G92" si="29">SUM(G79:G90)</f>
        <v>0</v>
      </c>
      <c r="H92" s="109"/>
      <c r="I92" s="109">
        <f>anlægskartotek!H30</f>
        <v>0</v>
      </c>
      <c r="J92" s="109">
        <f>anlægskartotek!I30</f>
        <v>0</v>
      </c>
      <c r="K92" s="109">
        <f>anlægskartotek!J30</f>
        <v>0</v>
      </c>
      <c r="L92" s="109">
        <v>0</v>
      </c>
      <c r="M92" s="109">
        <v>0</v>
      </c>
      <c r="N92" s="109">
        <v>0</v>
      </c>
      <c r="O92" s="109">
        <v>0</v>
      </c>
      <c r="P92" s="109">
        <v>0</v>
      </c>
      <c r="Q92" s="109">
        <f t="shared" ref="Q92:S92" si="30">SUM(Q79:Q90)</f>
        <v>0</v>
      </c>
      <c r="R92" s="112">
        <v>0</v>
      </c>
      <c r="S92" s="109">
        <f t="shared" si="30"/>
        <v>0</v>
      </c>
    </row>
    <row r="93" spans="1:19" x14ac:dyDescent="0.3">
      <c r="R93" s="110"/>
    </row>
    <row r="94" spans="1:19" x14ac:dyDescent="0.3">
      <c r="R94" s="110"/>
    </row>
    <row r="95" spans="1:19" x14ac:dyDescent="0.3">
      <c r="R95" s="110"/>
    </row>
    <row r="96" spans="1:19" ht="15" x14ac:dyDescent="0.25">
      <c r="A96" s="37"/>
      <c r="B96" s="120"/>
      <c r="C96" s="37"/>
      <c r="D96" s="37"/>
      <c r="E96" s="37"/>
      <c r="F96" s="37"/>
      <c r="G96" s="213"/>
      <c r="H96" s="113"/>
      <c r="I96" s="113"/>
      <c r="J96" s="113"/>
      <c r="K96" s="114"/>
      <c r="R96" s="110"/>
    </row>
    <row r="97" spans="8:18" x14ac:dyDescent="0.3">
      <c r="H97" s="115"/>
      <c r="I97" s="115"/>
      <c r="J97" s="115"/>
      <c r="K97" s="115"/>
      <c r="R97" s="110"/>
    </row>
    <row r="98" spans="8:18" x14ac:dyDescent="0.3">
      <c r="R98" s="110"/>
    </row>
    <row r="99" spans="8:18" x14ac:dyDescent="0.3">
      <c r="R99" s="110"/>
    </row>
    <row r="213" spans="18:18" x14ac:dyDescent="0.3">
      <c r="R213" s="37">
        <v>0</v>
      </c>
    </row>
  </sheetData>
  <mergeCells count="14">
    <mergeCell ref="A4:F4"/>
    <mergeCell ref="M66:Q66"/>
    <mergeCell ref="H12:K12"/>
    <mergeCell ref="H21:L33"/>
    <mergeCell ref="M17:Q19"/>
    <mergeCell ref="H35:L46"/>
    <mergeCell ref="M20:Q20"/>
    <mergeCell ref="M64:Q64"/>
    <mergeCell ref="H65:K65"/>
    <mergeCell ref="S17:S19"/>
    <mergeCell ref="S21:S33"/>
    <mergeCell ref="S36:S46"/>
    <mergeCell ref="S48:S50"/>
    <mergeCell ref="S52:S56"/>
  </mergeCells>
  <pageMargins left="0.70866141732283472" right="0.70866141732283472" top="0.74803149606299213" bottom="0.74803149606299213" header="0.31496062992125984" footer="0.31496062992125984"/>
  <pageSetup paperSize="8" scale="45" orientation="landscape"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J63"/>
  <sheetViews>
    <sheetView workbookViewId="0">
      <selection sqref="A1:XFD1048576"/>
    </sheetView>
  </sheetViews>
  <sheetFormatPr defaultRowHeight="15" x14ac:dyDescent="0.25"/>
  <cols>
    <col min="1" max="1" width="9.140625" style="27"/>
    <col min="2" max="2" width="20.42578125" style="27" customWidth="1"/>
    <col min="3" max="3" width="12" style="27" customWidth="1"/>
    <col min="4" max="4" width="10.42578125" style="27" customWidth="1"/>
    <col min="5" max="5" width="10.7109375" style="27" customWidth="1"/>
    <col min="6" max="6" width="2.7109375" style="27" customWidth="1"/>
    <col min="7" max="9" width="9.140625" style="27"/>
    <col min="10" max="10" width="9.7109375" style="27" customWidth="1"/>
    <col min="11" max="14" width="9.140625" style="27"/>
    <col min="15" max="15" width="22.28515625" style="252" customWidth="1"/>
    <col min="16" max="16" width="9.140625" style="252"/>
    <col min="17" max="17" width="17.42578125" style="27" customWidth="1"/>
    <col min="18" max="18" width="7" style="27" customWidth="1"/>
    <col min="19" max="16384" width="9.140625" style="27"/>
  </cols>
  <sheetData>
    <row r="1" spans="2:88" ht="18" x14ac:dyDescent="0.25">
      <c r="B1" s="228" t="s">
        <v>104</v>
      </c>
      <c r="C1" s="228"/>
      <c r="D1" s="229"/>
      <c r="E1" s="230"/>
      <c r="F1" s="230"/>
      <c r="G1" s="231"/>
      <c r="H1" s="231"/>
      <c r="I1" s="231"/>
      <c r="J1" s="231"/>
      <c r="K1" s="231"/>
      <c r="L1" s="231"/>
      <c r="M1" s="231"/>
      <c r="N1" s="232"/>
      <c r="O1" s="233"/>
      <c r="P1" s="233"/>
    </row>
    <row r="2" spans="2:88" ht="15.75" x14ac:dyDescent="0.25">
      <c r="B2" s="234"/>
      <c r="C2" s="234"/>
      <c r="D2" s="234"/>
      <c r="E2" s="235"/>
      <c r="F2" s="235"/>
      <c r="G2" s="411" t="s">
        <v>105</v>
      </c>
      <c r="H2" s="411"/>
      <c r="I2" s="411"/>
      <c r="J2" s="411"/>
      <c r="K2" s="411"/>
      <c r="L2" s="411"/>
      <c r="M2" s="411"/>
      <c r="N2" s="412"/>
      <c r="O2" s="236"/>
      <c r="P2" s="236"/>
    </row>
    <row r="3" spans="2:88" x14ac:dyDescent="0.25">
      <c r="B3" s="237" t="s">
        <v>106</v>
      </c>
      <c r="C3" s="237"/>
      <c r="D3" s="413"/>
      <c r="E3" s="413"/>
      <c r="F3" s="238"/>
      <c r="G3" s="231"/>
      <c r="H3" s="231"/>
      <c r="I3" s="231"/>
      <c r="J3" s="231"/>
      <c r="K3" s="231"/>
      <c r="L3" s="231"/>
      <c r="M3" s="231"/>
      <c r="N3" s="232"/>
      <c r="O3" s="233"/>
      <c r="P3" s="233"/>
    </row>
    <row r="4" spans="2:88" x14ac:dyDescent="0.25">
      <c r="B4" s="239" t="s">
        <v>107</v>
      </c>
      <c r="C4" s="240">
        <v>56090</v>
      </c>
      <c r="D4" s="238"/>
      <c r="E4" s="238"/>
      <c r="F4" s="238"/>
      <c r="G4" s="231"/>
      <c r="H4" s="231"/>
      <c r="I4" s="231"/>
      <c r="J4" s="231"/>
      <c r="K4" s="231"/>
      <c r="L4" s="231"/>
      <c r="M4" s="231"/>
      <c r="N4" s="232"/>
      <c r="O4" s="233"/>
      <c r="P4" s="233"/>
    </row>
    <row r="5" spans="2:88" ht="15.75" thickBot="1" x14ac:dyDescent="0.3">
      <c r="B5" s="239" t="s">
        <v>108</v>
      </c>
      <c r="C5" s="240" t="s">
        <v>109</v>
      </c>
      <c r="D5" s="413"/>
      <c r="E5" s="413"/>
      <c r="F5" s="241"/>
      <c r="G5" s="231"/>
      <c r="H5" s="242" t="s">
        <v>110</v>
      </c>
      <c r="I5" s="231"/>
      <c r="J5" s="243">
        <f>C7*C8/(D56*52)</f>
        <v>230.03782844289955</v>
      </c>
      <c r="K5" s="231"/>
      <c r="L5" s="231"/>
      <c r="M5" s="231"/>
      <c r="N5" s="232"/>
      <c r="O5" s="233" t="s">
        <v>176</v>
      </c>
      <c r="P5" s="233"/>
    </row>
    <row r="6" spans="2:88" x14ac:dyDescent="0.25">
      <c r="B6" s="239" t="s">
        <v>111</v>
      </c>
      <c r="C6" s="27">
        <v>201025</v>
      </c>
      <c r="D6" s="413"/>
      <c r="E6" s="413"/>
      <c r="F6" s="241"/>
      <c r="G6" s="231"/>
      <c r="H6" s="231"/>
      <c r="I6" s="231"/>
      <c r="J6" s="231"/>
      <c r="K6" s="231"/>
      <c r="L6" s="231"/>
      <c r="M6" s="231"/>
      <c r="N6" s="231"/>
      <c r="O6" s="244" t="s">
        <v>169</v>
      </c>
      <c r="P6" s="245" t="s">
        <v>175</v>
      </c>
      <c r="Q6" s="246"/>
    </row>
    <row r="7" spans="2:88" x14ac:dyDescent="0.25">
      <c r="B7" s="239" t="s">
        <v>17</v>
      </c>
      <c r="C7" s="240">
        <v>195</v>
      </c>
      <c r="D7" s="413"/>
      <c r="E7" s="413"/>
      <c r="F7" s="241"/>
      <c r="G7" s="231"/>
      <c r="H7" s="242" t="s">
        <v>112</v>
      </c>
      <c r="I7" s="231"/>
      <c r="J7" s="247">
        <f>D56*52/C7</f>
        <v>43.471111111111099</v>
      </c>
      <c r="K7" s="231"/>
      <c r="L7" s="231"/>
      <c r="M7" s="231"/>
      <c r="N7" s="231"/>
      <c r="O7" s="248" t="s">
        <v>170</v>
      </c>
      <c r="P7" s="249">
        <v>432</v>
      </c>
      <c r="Q7" s="250">
        <f>P7/$P$10</f>
        <v>0.18070273284997213</v>
      </c>
      <c r="R7" s="27" t="s">
        <v>193</v>
      </c>
    </row>
    <row r="8" spans="2:88" x14ac:dyDescent="0.25">
      <c r="B8" s="251" t="s">
        <v>113</v>
      </c>
      <c r="C8" s="240">
        <v>10000</v>
      </c>
      <c r="D8" s="413"/>
      <c r="E8" s="413"/>
      <c r="F8" s="241"/>
      <c r="G8" s="231"/>
      <c r="H8" s="242"/>
      <c r="I8" s="231"/>
      <c r="J8" s="231"/>
      <c r="K8" s="231"/>
      <c r="L8" s="231"/>
      <c r="M8" s="231"/>
      <c r="N8" s="231"/>
      <c r="O8" s="248" t="s">
        <v>171</v>
      </c>
      <c r="P8" s="249">
        <v>1958.6666666666665</v>
      </c>
      <c r="Q8" s="250">
        <f>P8/$P$10</f>
        <v>0.81929726715002793</v>
      </c>
      <c r="S8" s="252"/>
    </row>
    <row r="9" spans="2:88" x14ac:dyDescent="0.25">
      <c r="B9" s="239" t="s">
        <v>114</v>
      </c>
      <c r="C9" s="253">
        <v>0</v>
      </c>
      <c r="D9" s="413"/>
      <c r="E9" s="413"/>
      <c r="F9" s="241"/>
      <c r="G9" s="231"/>
      <c r="H9" s="242"/>
      <c r="I9" s="231"/>
      <c r="J9" s="231"/>
      <c r="K9" s="231"/>
      <c r="L9" s="231"/>
      <c r="M9" s="231"/>
      <c r="N9" s="231"/>
      <c r="O9" s="233" t="s">
        <v>266</v>
      </c>
      <c r="P9" s="27"/>
      <c r="R9" s="254"/>
      <c r="S9" s="255"/>
    </row>
    <row r="10" spans="2:88" ht="15.75" thickBot="1" x14ac:dyDescent="0.3">
      <c r="B10" s="239" t="s">
        <v>115</v>
      </c>
      <c r="C10" s="240">
        <v>150</v>
      </c>
      <c r="D10" s="413"/>
      <c r="E10" s="413"/>
      <c r="F10" s="241"/>
      <c r="G10" s="231"/>
      <c r="H10" s="242"/>
      <c r="I10" s="231"/>
      <c r="J10" s="231"/>
      <c r="K10" s="231"/>
      <c r="L10" s="231"/>
      <c r="M10" s="231"/>
      <c r="N10" s="232"/>
      <c r="O10" s="256" t="s">
        <v>172</v>
      </c>
      <c r="P10" s="257">
        <f>SUM(P7:P8)</f>
        <v>2390.6666666666665</v>
      </c>
      <c r="Q10" s="258">
        <v>1</v>
      </c>
      <c r="R10" s="35"/>
      <c r="S10" s="255"/>
    </row>
    <row r="11" spans="2:88" x14ac:dyDescent="0.25">
      <c r="B11" s="239" t="s">
        <v>116</v>
      </c>
      <c r="C11" s="253" t="s">
        <v>117</v>
      </c>
      <c r="D11" s="413"/>
      <c r="E11" s="413"/>
      <c r="F11" s="241"/>
      <c r="G11" s="231"/>
      <c r="H11" s="242"/>
      <c r="I11" s="231"/>
      <c r="J11" s="231"/>
      <c r="K11" s="231"/>
      <c r="L11" s="231"/>
      <c r="M11" s="231"/>
      <c r="N11" s="232"/>
      <c r="O11" s="233"/>
      <c r="P11" s="233"/>
      <c r="R11" s="254"/>
      <c r="S11" s="255"/>
    </row>
    <row r="12" spans="2:88" x14ac:dyDescent="0.25">
      <c r="B12" s="239" t="s">
        <v>118</v>
      </c>
      <c r="C12" s="253" t="s">
        <v>119</v>
      </c>
      <c r="D12" s="413"/>
      <c r="E12" s="413"/>
      <c r="F12" s="259"/>
      <c r="G12" s="231"/>
      <c r="H12" s="231"/>
      <c r="I12" s="231"/>
      <c r="J12" s="231"/>
      <c r="K12" s="231"/>
      <c r="L12" s="231"/>
      <c r="M12" s="231"/>
      <c r="N12" s="232"/>
      <c r="O12" s="233"/>
      <c r="P12" s="233"/>
    </row>
    <row r="13" spans="2:88" ht="15.75" thickBot="1" x14ac:dyDescent="0.3">
      <c r="B13" s="235"/>
      <c r="C13" s="235"/>
      <c r="D13" s="235"/>
      <c r="E13" s="235"/>
      <c r="F13" s="235"/>
      <c r="G13" s="260"/>
      <c r="H13" s="260"/>
      <c r="I13" s="260"/>
      <c r="J13" s="260"/>
      <c r="K13" s="260"/>
      <c r="L13" s="260"/>
      <c r="M13" s="260"/>
      <c r="N13" s="261"/>
      <c r="O13" s="233"/>
      <c r="P13" s="233"/>
    </row>
    <row r="14" spans="2:88" ht="27.75" customHeight="1" x14ac:dyDescent="0.35">
      <c r="B14" s="237" t="s">
        <v>120</v>
      </c>
      <c r="C14" s="262" t="s">
        <v>121</v>
      </c>
      <c r="D14" s="262" t="s">
        <v>122</v>
      </c>
      <c r="E14" s="262" t="s">
        <v>123</v>
      </c>
      <c r="F14" s="262"/>
      <c r="G14" s="408" t="s">
        <v>124</v>
      </c>
      <c r="H14" s="409"/>
      <c r="I14" s="409"/>
      <c r="J14" s="409"/>
      <c r="K14" s="409"/>
      <c r="L14" s="409"/>
      <c r="M14" s="409"/>
      <c r="N14" s="410"/>
      <c r="O14" s="263"/>
      <c r="P14" s="263"/>
      <c r="Q14" s="408"/>
      <c r="R14" s="409"/>
      <c r="S14" s="409"/>
      <c r="T14" s="409"/>
      <c r="U14" s="409"/>
      <c r="V14" s="409"/>
      <c r="W14" s="409"/>
      <c r="X14" s="410"/>
      <c r="Y14" s="408" t="s">
        <v>125</v>
      </c>
      <c r="Z14" s="409"/>
      <c r="AA14" s="409"/>
      <c r="AB14" s="409"/>
      <c r="AC14" s="409"/>
      <c r="AD14" s="409"/>
      <c r="AE14" s="409"/>
      <c r="AF14" s="410"/>
      <c r="AG14" s="408" t="s">
        <v>126</v>
      </c>
      <c r="AH14" s="409"/>
      <c r="AI14" s="409"/>
      <c r="AJ14" s="409"/>
      <c r="AK14" s="409"/>
      <c r="AL14" s="409"/>
      <c r="AM14" s="409"/>
      <c r="AN14" s="410"/>
      <c r="AO14" s="408" t="s">
        <v>127</v>
      </c>
      <c r="AP14" s="409"/>
      <c r="AQ14" s="409"/>
      <c r="AR14" s="409"/>
      <c r="AS14" s="409"/>
      <c r="AT14" s="409"/>
      <c r="AU14" s="409"/>
      <c r="AV14" s="410"/>
      <c r="AW14" s="408" t="s">
        <v>128</v>
      </c>
      <c r="AX14" s="409"/>
      <c r="AY14" s="409"/>
      <c r="AZ14" s="409"/>
      <c r="BA14" s="409"/>
      <c r="BB14" s="409"/>
      <c r="BC14" s="409"/>
      <c r="BD14" s="410"/>
      <c r="BE14" s="408" t="s">
        <v>129</v>
      </c>
      <c r="BF14" s="409"/>
      <c r="BG14" s="409"/>
      <c r="BH14" s="409"/>
      <c r="BI14" s="409"/>
      <c r="BJ14" s="409"/>
      <c r="BK14" s="409"/>
      <c r="BL14" s="410"/>
      <c r="BM14" s="408" t="s">
        <v>130</v>
      </c>
      <c r="BN14" s="409"/>
      <c r="BO14" s="409"/>
      <c r="BP14" s="409"/>
      <c r="BQ14" s="409"/>
      <c r="BR14" s="409"/>
      <c r="BS14" s="409"/>
      <c r="BT14" s="410"/>
      <c r="BU14" s="408" t="s">
        <v>131</v>
      </c>
      <c r="BV14" s="409"/>
      <c r="BW14" s="409"/>
      <c r="BX14" s="409"/>
      <c r="BY14" s="409"/>
      <c r="BZ14" s="409"/>
      <c r="CA14" s="409"/>
      <c r="CB14" s="410"/>
      <c r="CC14" s="408" t="s">
        <v>132</v>
      </c>
      <c r="CD14" s="409"/>
      <c r="CE14" s="409"/>
      <c r="CF14" s="409"/>
      <c r="CG14" s="409"/>
      <c r="CH14" s="409"/>
      <c r="CI14" s="409"/>
      <c r="CJ14" s="410"/>
    </row>
    <row r="15" spans="2:88" x14ac:dyDescent="0.25">
      <c r="B15" s="235"/>
      <c r="C15" s="235"/>
      <c r="D15" s="235"/>
      <c r="E15" s="235"/>
      <c r="F15" s="235"/>
      <c r="G15" s="264" t="s">
        <v>133</v>
      </c>
      <c r="H15" s="265" t="s">
        <v>134</v>
      </c>
      <c r="I15" s="265" t="s">
        <v>135</v>
      </c>
      <c r="J15" s="265" t="s">
        <v>136</v>
      </c>
      <c r="K15" s="265" t="s">
        <v>137</v>
      </c>
      <c r="L15" s="265" t="s">
        <v>138</v>
      </c>
      <c r="M15" s="265" t="s">
        <v>139</v>
      </c>
      <c r="N15" s="266" t="s">
        <v>140</v>
      </c>
      <c r="O15" s="267"/>
      <c r="P15" s="267"/>
      <c r="Q15" s="264"/>
      <c r="R15" s="265"/>
      <c r="S15" s="265"/>
      <c r="T15" s="265"/>
      <c r="U15" s="265"/>
      <c r="V15" s="265"/>
      <c r="W15" s="265"/>
      <c r="X15" s="266"/>
      <c r="Y15" s="264" t="s">
        <v>133</v>
      </c>
      <c r="Z15" s="265" t="s">
        <v>134</v>
      </c>
      <c r="AA15" s="265" t="s">
        <v>135</v>
      </c>
      <c r="AB15" s="265" t="s">
        <v>136</v>
      </c>
      <c r="AC15" s="265" t="s">
        <v>137</v>
      </c>
      <c r="AD15" s="265" t="s">
        <v>138</v>
      </c>
      <c r="AE15" s="265" t="s">
        <v>139</v>
      </c>
      <c r="AF15" s="266" t="s">
        <v>140</v>
      </c>
      <c r="AG15" s="264" t="s">
        <v>133</v>
      </c>
      <c r="AH15" s="265" t="s">
        <v>134</v>
      </c>
      <c r="AI15" s="265" t="s">
        <v>135</v>
      </c>
      <c r="AJ15" s="265" t="s">
        <v>136</v>
      </c>
      <c r="AK15" s="265" t="s">
        <v>137</v>
      </c>
      <c r="AL15" s="265" t="s">
        <v>138</v>
      </c>
      <c r="AM15" s="265" t="s">
        <v>139</v>
      </c>
      <c r="AN15" s="266" t="s">
        <v>140</v>
      </c>
      <c r="AO15" s="264" t="s">
        <v>133</v>
      </c>
      <c r="AP15" s="265" t="s">
        <v>134</v>
      </c>
      <c r="AQ15" s="265" t="s">
        <v>135</v>
      </c>
      <c r="AR15" s="265" t="s">
        <v>136</v>
      </c>
      <c r="AS15" s="265" t="s">
        <v>137</v>
      </c>
      <c r="AT15" s="265" t="s">
        <v>138</v>
      </c>
      <c r="AU15" s="265" t="s">
        <v>139</v>
      </c>
      <c r="AV15" s="266" t="s">
        <v>140</v>
      </c>
      <c r="AW15" s="264" t="s">
        <v>133</v>
      </c>
      <c r="AX15" s="265" t="s">
        <v>134</v>
      </c>
      <c r="AY15" s="265" t="s">
        <v>135</v>
      </c>
      <c r="AZ15" s="265" t="s">
        <v>136</v>
      </c>
      <c r="BA15" s="265" t="s">
        <v>137</v>
      </c>
      <c r="BB15" s="265" t="s">
        <v>138</v>
      </c>
      <c r="BC15" s="265" t="s">
        <v>139</v>
      </c>
      <c r="BD15" s="266" t="s">
        <v>140</v>
      </c>
      <c r="BE15" s="264" t="s">
        <v>133</v>
      </c>
      <c r="BF15" s="265" t="s">
        <v>134</v>
      </c>
      <c r="BG15" s="265" t="s">
        <v>135</v>
      </c>
      <c r="BH15" s="265" t="s">
        <v>136</v>
      </c>
      <c r="BI15" s="265" t="s">
        <v>137</v>
      </c>
      <c r="BJ15" s="265" t="s">
        <v>138</v>
      </c>
      <c r="BK15" s="265" t="s">
        <v>139</v>
      </c>
      <c r="BL15" s="266" t="s">
        <v>140</v>
      </c>
      <c r="BM15" s="264" t="s">
        <v>133</v>
      </c>
      <c r="BN15" s="265" t="s">
        <v>134</v>
      </c>
      <c r="BO15" s="265" t="s">
        <v>135</v>
      </c>
      <c r="BP15" s="265" t="s">
        <v>136</v>
      </c>
      <c r="BQ15" s="265" t="s">
        <v>137</v>
      </c>
      <c r="BR15" s="265" t="s">
        <v>138</v>
      </c>
      <c r="BS15" s="265" t="s">
        <v>139</v>
      </c>
      <c r="BT15" s="266" t="s">
        <v>140</v>
      </c>
      <c r="BU15" s="264" t="s">
        <v>133</v>
      </c>
      <c r="BV15" s="265" t="s">
        <v>134</v>
      </c>
      <c r="BW15" s="265" t="s">
        <v>135</v>
      </c>
      <c r="BX15" s="265" t="s">
        <v>136</v>
      </c>
      <c r="BY15" s="265" t="s">
        <v>137</v>
      </c>
      <c r="BZ15" s="265" t="s">
        <v>138</v>
      </c>
      <c r="CA15" s="265" t="s">
        <v>139</v>
      </c>
      <c r="CB15" s="266" t="s">
        <v>140</v>
      </c>
      <c r="CC15" s="264" t="s">
        <v>133</v>
      </c>
      <c r="CD15" s="265" t="s">
        <v>134</v>
      </c>
      <c r="CE15" s="265" t="s">
        <v>135</v>
      </c>
      <c r="CF15" s="265" t="s">
        <v>136</v>
      </c>
      <c r="CG15" s="265" t="s">
        <v>137</v>
      </c>
      <c r="CH15" s="265" t="s">
        <v>138</v>
      </c>
      <c r="CI15" s="265" t="s">
        <v>139</v>
      </c>
      <c r="CJ15" s="266" t="s">
        <v>140</v>
      </c>
    </row>
    <row r="16" spans="2:88" ht="15.75" thickBot="1" x14ac:dyDescent="0.3">
      <c r="B16" s="237" t="s">
        <v>141</v>
      </c>
      <c r="C16" s="237"/>
      <c r="D16" s="251"/>
      <c r="E16" s="235"/>
      <c r="F16" s="235"/>
      <c r="G16" s="268"/>
      <c r="H16" s="269"/>
      <c r="I16" s="269"/>
      <c r="J16" s="269"/>
      <c r="K16" s="269"/>
      <c r="L16" s="269"/>
      <c r="M16" s="269"/>
      <c r="N16" s="270"/>
      <c r="O16" s="271" t="s">
        <v>33</v>
      </c>
      <c r="P16" s="271"/>
      <c r="Q16" s="256"/>
      <c r="R16" s="271"/>
      <c r="S16" s="271"/>
      <c r="T16" s="271"/>
      <c r="U16" s="271"/>
      <c r="V16" s="271"/>
      <c r="W16" s="269"/>
      <c r="X16" s="270"/>
      <c r="Y16" s="268"/>
      <c r="Z16" s="269"/>
      <c r="AA16" s="269"/>
      <c r="AB16" s="269"/>
      <c r="AC16" s="269"/>
      <c r="AD16" s="269"/>
      <c r="AE16" s="269"/>
      <c r="AF16" s="270"/>
      <c r="AG16" s="268"/>
      <c r="AH16" s="269"/>
      <c r="AI16" s="269"/>
      <c r="AJ16" s="269"/>
      <c r="AK16" s="269"/>
      <c r="AL16" s="269"/>
      <c r="AM16" s="269"/>
      <c r="AN16" s="270"/>
      <c r="AO16" s="268"/>
      <c r="AP16" s="269"/>
      <c r="AQ16" s="269"/>
      <c r="AR16" s="269"/>
      <c r="AS16" s="269"/>
      <c r="AT16" s="269"/>
      <c r="AU16" s="269"/>
      <c r="AV16" s="270"/>
      <c r="AW16" s="268"/>
      <c r="AX16" s="269"/>
      <c r="AY16" s="269"/>
      <c r="AZ16" s="269"/>
      <c r="BA16" s="269"/>
      <c r="BB16" s="269"/>
      <c r="BC16" s="269"/>
      <c r="BD16" s="270"/>
      <c r="BE16" s="268"/>
      <c r="BF16" s="269"/>
      <c r="BG16" s="269"/>
      <c r="BH16" s="269"/>
      <c r="BI16" s="269"/>
      <c r="BJ16" s="269"/>
      <c r="BK16" s="269"/>
      <c r="BL16" s="270"/>
      <c r="BM16" s="268"/>
      <c r="BN16" s="269"/>
      <c r="BO16" s="269"/>
      <c r="BP16" s="269"/>
      <c r="BQ16" s="269"/>
      <c r="BR16" s="269"/>
      <c r="BS16" s="269"/>
      <c r="BT16" s="270"/>
      <c r="BU16" s="268"/>
      <c r="BV16" s="269"/>
      <c r="BW16" s="269"/>
      <c r="BX16" s="269"/>
      <c r="BY16" s="269"/>
      <c r="BZ16" s="269"/>
      <c r="CA16" s="269"/>
      <c r="CB16" s="270"/>
      <c r="CC16" s="268"/>
      <c r="CD16" s="269"/>
      <c r="CE16" s="269"/>
      <c r="CF16" s="269"/>
      <c r="CG16" s="269"/>
      <c r="CH16" s="269"/>
      <c r="CI16" s="269"/>
      <c r="CJ16" s="270"/>
    </row>
    <row r="17" spans="1:88" x14ac:dyDescent="0.25">
      <c r="B17" s="237"/>
      <c r="C17" s="237"/>
      <c r="D17" s="251"/>
      <c r="E17" s="235"/>
      <c r="F17" s="235"/>
      <c r="G17" s="272"/>
      <c r="H17" s="272"/>
      <c r="I17" s="272"/>
      <c r="J17" s="272"/>
      <c r="K17" s="272"/>
      <c r="L17" s="272"/>
      <c r="M17" s="272"/>
      <c r="N17" s="272"/>
      <c r="O17" s="273" t="s">
        <v>177</v>
      </c>
      <c r="P17" s="274"/>
      <c r="Q17" s="274"/>
      <c r="R17" s="274"/>
      <c r="S17" s="275"/>
      <c r="T17" s="233"/>
      <c r="U17" s="233"/>
      <c r="V17" s="233"/>
      <c r="W17" s="272"/>
      <c r="X17" s="272"/>
      <c r="Y17" s="272"/>
      <c r="Z17" s="272"/>
      <c r="AA17" s="272"/>
      <c r="AB17" s="272"/>
      <c r="AC17" s="272"/>
      <c r="AD17" s="272"/>
      <c r="AE17" s="272"/>
      <c r="AF17" s="272"/>
      <c r="AG17" s="272"/>
      <c r="AH17" s="272"/>
      <c r="AI17" s="272"/>
      <c r="AJ17" s="272"/>
      <c r="AK17" s="272"/>
      <c r="AL17" s="272"/>
      <c r="AM17" s="272"/>
      <c r="AN17" s="272"/>
      <c r="AO17" s="272"/>
      <c r="AP17" s="272"/>
      <c r="AQ17" s="272"/>
      <c r="AR17" s="272"/>
      <c r="AS17" s="272"/>
      <c r="AT17" s="272"/>
      <c r="AU17" s="272"/>
      <c r="AV17" s="272"/>
      <c r="AW17" s="272"/>
      <c r="AX17" s="272"/>
      <c r="AY17" s="272"/>
      <c r="AZ17" s="272"/>
      <c r="BA17" s="272"/>
      <c r="BB17" s="272"/>
      <c r="BC17" s="272"/>
      <c r="BD17" s="272"/>
      <c r="BE17" s="272"/>
      <c r="BF17" s="272"/>
      <c r="BG17" s="272"/>
      <c r="BH17" s="272"/>
      <c r="BI17" s="272"/>
      <c r="BJ17" s="272"/>
      <c r="BK17" s="272"/>
      <c r="BL17" s="272"/>
      <c r="BM17" s="272"/>
      <c r="BN17" s="272"/>
      <c r="BO17" s="272"/>
      <c r="BP17" s="272"/>
      <c r="BQ17" s="272"/>
      <c r="BR17" s="272"/>
      <c r="BS17" s="272"/>
      <c r="BT17" s="272"/>
      <c r="BU17" s="272"/>
      <c r="BV17" s="272"/>
      <c r="BW17" s="272"/>
      <c r="BX17" s="272"/>
      <c r="BY17" s="272"/>
      <c r="BZ17" s="272"/>
      <c r="CA17" s="272"/>
      <c r="CB17" s="272"/>
      <c r="CC17" s="272"/>
      <c r="CD17" s="272"/>
      <c r="CE17" s="272"/>
      <c r="CF17" s="272"/>
      <c r="CG17" s="272"/>
      <c r="CH17" s="272"/>
      <c r="CI17" s="272"/>
      <c r="CJ17" s="272"/>
    </row>
    <row r="18" spans="1:88" x14ac:dyDescent="0.25">
      <c r="B18" s="237"/>
      <c r="C18" s="237"/>
      <c r="D18" s="251"/>
      <c r="E18" s="235"/>
      <c r="F18" s="235"/>
      <c r="G18" s="272"/>
      <c r="H18" s="272"/>
      <c r="I18" s="272"/>
      <c r="J18" s="272"/>
      <c r="K18" s="272"/>
      <c r="L18" s="272"/>
      <c r="M18" s="272"/>
      <c r="N18" s="272"/>
      <c r="O18" s="248"/>
      <c r="P18" s="233"/>
      <c r="Q18" s="233" t="s">
        <v>263</v>
      </c>
      <c r="R18" s="233"/>
      <c r="S18" s="276"/>
      <c r="T18" s="233"/>
      <c r="U18" s="233"/>
      <c r="V18" s="233"/>
      <c r="W18" s="233"/>
      <c r="X18" s="233"/>
      <c r="Y18" s="272"/>
      <c r="Z18" s="272"/>
      <c r="AA18" s="272"/>
      <c r="AB18" s="272"/>
      <c r="AC18" s="272"/>
      <c r="AD18" s="272"/>
      <c r="AE18" s="272"/>
      <c r="AF18" s="272"/>
      <c r="AG18" s="272"/>
      <c r="AH18" s="272"/>
      <c r="AI18" s="272"/>
      <c r="AJ18" s="272"/>
      <c r="AK18" s="272"/>
      <c r="AL18" s="272"/>
      <c r="AM18" s="272"/>
      <c r="AN18" s="272"/>
      <c r="AO18" s="272"/>
      <c r="AP18" s="272"/>
      <c r="AQ18" s="272"/>
      <c r="AR18" s="272"/>
      <c r="AS18" s="272"/>
      <c r="AT18" s="272"/>
      <c r="AU18" s="272"/>
      <c r="AV18" s="272"/>
      <c r="AW18" s="272"/>
      <c r="AX18" s="272"/>
      <c r="AY18" s="272"/>
      <c r="AZ18" s="272"/>
      <c r="BA18" s="272"/>
      <c r="BB18" s="272"/>
      <c r="BC18" s="272"/>
      <c r="BD18" s="272"/>
      <c r="BE18" s="272"/>
      <c r="BF18" s="272"/>
      <c r="BG18" s="272"/>
      <c r="BH18" s="272"/>
      <c r="BI18" s="272"/>
      <c r="BJ18" s="272"/>
      <c r="BK18" s="272"/>
      <c r="BL18" s="272"/>
      <c r="BM18" s="272"/>
      <c r="BN18" s="272"/>
      <c r="BO18" s="272"/>
      <c r="BP18" s="272"/>
      <c r="BQ18" s="272"/>
      <c r="BR18" s="272"/>
      <c r="BS18" s="272"/>
      <c r="BT18" s="272"/>
      <c r="BU18" s="272"/>
      <c r="BV18" s="272"/>
      <c r="BW18" s="272"/>
      <c r="BX18" s="272"/>
      <c r="BY18" s="272"/>
      <c r="BZ18" s="272"/>
      <c r="CA18" s="272"/>
      <c r="CB18" s="272"/>
      <c r="CC18" s="272"/>
      <c r="CD18" s="272"/>
      <c r="CE18" s="272"/>
      <c r="CF18" s="272"/>
      <c r="CG18" s="272"/>
      <c r="CH18" s="272"/>
      <c r="CI18" s="272"/>
      <c r="CJ18" s="272"/>
    </row>
    <row r="19" spans="1:88" x14ac:dyDescent="0.25">
      <c r="A19" s="27">
        <v>5</v>
      </c>
      <c r="B19" s="277" t="s">
        <v>142</v>
      </c>
      <c r="C19" s="278">
        <f t="shared" ref="C19:C28" si="0">E19*52/$C$7</f>
        <v>286.66666666666669</v>
      </c>
      <c r="D19" s="278">
        <f>E19/60</f>
        <v>17.916666666666668</v>
      </c>
      <c r="E19" s="277">
        <f>N19+X19+AF19+AN19+AV19+BD19+BL19+BT19+CB19+CJ19</f>
        <v>1075</v>
      </c>
      <c r="F19" s="279"/>
      <c r="G19" s="280">
        <v>105</v>
      </c>
      <c r="H19" s="280">
        <v>120</v>
      </c>
      <c r="I19" s="280">
        <v>105</v>
      </c>
      <c r="J19" s="280">
        <v>150</v>
      </c>
      <c r="K19" s="280">
        <v>105</v>
      </c>
      <c r="L19" s="280">
        <v>60</v>
      </c>
      <c r="M19" s="280">
        <v>60</v>
      </c>
      <c r="N19" s="281">
        <f>SUM(G19:M19)</f>
        <v>705</v>
      </c>
      <c r="O19" s="248"/>
      <c r="P19" s="233" t="s">
        <v>264</v>
      </c>
      <c r="Q19" s="282" t="s">
        <v>265</v>
      </c>
      <c r="R19" s="282">
        <f>O54</f>
        <v>370</v>
      </c>
      <c r="S19" s="276" t="s">
        <v>173</v>
      </c>
      <c r="T19" s="283"/>
      <c r="U19" s="280"/>
      <c r="V19" s="280"/>
      <c r="W19" s="280"/>
      <c r="X19" s="284">
        <f>SUM(Q19:W19)</f>
        <v>370</v>
      </c>
      <c r="Y19" s="280"/>
      <c r="Z19" s="280"/>
      <c r="AA19" s="280"/>
      <c r="AB19" s="280"/>
      <c r="AC19" s="280"/>
      <c r="AD19" s="280"/>
      <c r="AE19" s="280"/>
      <c r="AF19" s="284">
        <f>SUM(Y19:AE19)</f>
        <v>0</v>
      </c>
      <c r="AG19" s="280"/>
      <c r="AH19" s="280"/>
      <c r="AI19" s="280"/>
      <c r="AJ19" s="280"/>
      <c r="AK19" s="280"/>
      <c r="AL19" s="280"/>
      <c r="AM19" s="280"/>
      <c r="AN19" s="284">
        <f>SUM(AG19:AM19)</f>
        <v>0</v>
      </c>
      <c r="AO19" s="280"/>
      <c r="AP19" s="280"/>
      <c r="AQ19" s="280"/>
      <c r="AR19" s="280"/>
      <c r="AS19" s="280"/>
      <c r="AT19" s="280"/>
      <c r="AU19" s="280"/>
      <c r="AV19" s="284">
        <f>SUM(AO19:AU19)</f>
        <v>0</v>
      </c>
      <c r="AW19" s="280"/>
      <c r="AX19" s="280"/>
      <c r="AY19" s="280"/>
      <c r="AZ19" s="280"/>
      <c r="BA19" s="280"/>
      <c r="BB19" s="280"/>
      <c r="BC19" s="280"/>
      <c r="BD19" s="284">
        <f>SUM(AW19:BC19)</f>
        <v>0</v>
      </c>
      <c r="BE19" s="280"/>
      <c r="BF19" s="280"/>
      <c r="BG19" s="280"/>
      <c r="BH19" s="280"/>
      <c r="BI19" s="280"/>
      <c r="BJ19" s="280"/>
      <c r="BK19" s="280"/>
      <c r="BL19" s="284">
        <f>SUM(BE19:BK19)</f>
        <v>0</v>
      </c>
      <c r="BM19" s="280"/>
      <c r="BN19" s="280"/>
      <c r="BO19" s="280"/>
      <c r="BP19" s="280"/>
      <c r="BQ19" s="280"/>
      <c r="BR19" s="280"/>
      <c r="BS19" s="280"/>
      <c r="BT19" s="284">
        <f>SUM(BM19:BS19)</f>
        <v>0</v>
      </c>
      <c r="BU19" s="280"/>
      <c r="BV19" s="280"/>
      <c r="BW19" s="280"/>
      <c r="BX19" s="280"/>
      <c r="BY19" s="280"/>
      <c r="BZ19" s="280"/>
      <c r="CA19" s="280"/>
      <c r="CB19" s="284">
        <f>SUM(BU19:CA19)</f>
        <v>0</v>
      </c>
      <c r="CC19" s="280"/>
      <c r="CD19" s="280"/>
      <c r="CE19" s="280"/>
      <c r="CF19" s="280"/>
      <c r="CG19" s="280"/>
      <c r="CH19" s="280"/>
      <c r="CI19" s="280"/>
      <c r="CJ19" s="284">
        <f>SUM(CC19:CI19)</f>
        <v>0</v>
      </c>
    </row>
    <row r="20" spans="1:88" x14ac:dyDescent="0.25">
      <c r="A20" s="27">
        <v>6</v>
      </c>
      <c r="B20" s="277" t="s">
        <v>143</v>
      </c>
      <c r="C20" s="278">
        <f t="shared" si="0"/>
        <v>230.71415929203542</v>
      </c>
      <c r="D20" s="278">
        <f t="shared" ref="D20:D28" si="1">E20/60</f>
        <v>14.419634955752212</v>
      </c>
      <c r="E20" s="277">
        <f>N20+X20+AF20+AN20+AV20+BD20+BL20+BT20+CB20+CJ20</f>
        <v>865.17809734513276</v>
      </c>
      <c r="F20" s="279"/>
      <c r="G20" s="285"/>
      <c r="H20" s="285">
        <v>15</v>
      </c>
      <c r="I20" s="285">
        <v>15</v>
      </c>
      <c r="J20" s="285">
        <v>15</v>
      </c>
      <c r="K20" s="285">
        <v>15</v>
      </c>
      <c r="L20" s="285"/>
      <c r="M20" s="285"/>
      <c r="N20" s="281">
        <f t="shared" ref="N20:N54" si="2">SUM(G20:M20)</f>
        <v>60</v>
      </c>
      <c r="O20" s="286" t="s">
        <v>73</v>
      </c>
      <c r="P20" s="282">
        <f>N19+N47</f>
        <v>805</v>
      </c>
      <c r="Q20" s="233"/>
      <c r="R20" s="249">
        <f>P20+Q20</f>
        <v>805</v>
      </c>
      <c r="S20" s="250">
        <f t="shared" ref="S20:S26" si="3">R20/$R$27</f>
        <v>0.17809734513274336</v>
      </c>
      <c r="T20" s="287"/>
      <c r="U20" s="285"/>
      <c r="V20" s="285"/>
      <c r="W20" s="285"/>
      <c r="X20" s="284">
        <f t="shared" ref="X20:X28" si="4">SUM(Q20:W20)</f>
        <v>805.17809734513276</v>
      </c>
      <c r="Y20" s="285"/>
      <c r="Z20" s="285"/>
      <c r="AA20" s="285"/>
      <c r="AB20" s="285"/>
      <c r="AC20" s="285"/>
      <c r="AD20" s="285"/>
      <c r="AE20" s="285"/>
      <c r="AF20" s="284">
        <f t="shared" ref="AF20:AF28" si="5">SUM(Y20:AE20)</f>
        <v>0</v>
      </c>
      <c r="AG20" s="285"/>
      <c r="AH20" s="285"/>
      <c r="AI20" s="285"/>
      <c r="AJ20" s="285"/>
      <c r="AK20" s="285"/>
      <c r="AL20" s="285"/>
      <c r="AM20" s="285"/>
      <c r="AN20" s="284">
        <f t="shared" ref="AN20:AN28" si="6">SUM(AG20:AM20)</f>
        <v>0</v>
      </c>
      <c r="AO20" s="285"/>
      <c r="AP20" s="285"/>
      <c r="AQ20" s="285"/>
      <c r="AR20" s="285"/>
      <c r="AS20" s="285"/>
      <c r="AT20" s="285"/>
      <c r="AU20" s="285"/>
      <c r="AV20" s="284">
        <f t="shared" ref="AV20:AV28" si="7">SUM(AO20:AU20)</f>
        <v>0</v>
      </c>
      <c r="AW20" s="285"/>
      <c r="AX20" s="285"/>
      <c r="AY20" s="285"/>
      <c r="AZ20" s="285"/>
      <c r="BA20" s="285"/>
      <c r="BB20" s="285"/>
      <c r="BC20" s="285"/>
      <c r="BD20" s="284">
        <f t="shared" ref="BD20:BD28" si="8">SUM(AW20:BC20)</f>
        <v>0</v>
      </c>
      <c r="BE20" s="285"/>
      <c r="BF20" s="285"/>
      <c r="BG20" s="285"/>
      <c r="BH20" s="285"/>
      <c r="BI20" s="285"/>
      <c r="BJ20" s="285"/>
      <c r="BK20" s="285"/>
      <c r="BL20" s="284">
        <f t="shared" ref="BL20:BL28" si="9">SUM(BE20:BK20)</f>
        <v>0</v>
      </c>
      <c r="BM20" s="285"/>
      <c r="BN20" s="285"/>
      <c r="BO20" s="285"/>
      <c r="BP20" s="285"/>
      <c r="BQ20" s="285"/>
      <c r="BR20" s="285"/>
      <c r="BS20" s="285"/>
      <c r="BT20" s="284">
        <f t="shared" ref="BT20:BT28" si="10">SUM(BM20:BS20)</f>
        <v>0</v>
      </c>
      <c r="BU20" s="285"/>
      <c r="BV20" s="285"/>
      <c r="BW20" s="285"/>
      <c r="BX20" s="285"/>
      <c r="BY20" s="285"/>
      <c r="BZ20" s="285"/>
      <c r="CA20" s="285"/>
      <c r="CB20" s="284">
        <f t="shared" ref="CB20:CB28" si="11">SUM(BU20:CA20)</f>
        <v>0</v>
      </c>
      <c r="CC20" s="285"/>
      <c r="CD20" s="285"/>
      <c r="CE20" s="285"/>
      <c r="CF20" s="285"/>
      <c r="CG20" s="285"/>
      <c r="CH20" s="285"/>
      <c r="CI20" s="285"/>
      <c r="CJ20" s="284">
        <f t="shared" ref="CJ20:CJ28" si="12">SUM(CC20:CI20)</f>
        <v>0</v>
      </c>
    </row>
    <row r="21" spans="1:88" x14ac:dyDescent="0.25">
      <c r="A21" s="27">
        <v>4</v>
      </c>
      <c r="B21" s="277" t="s">
        <v>144</v>
      </c>
      <c r="C21" s="278">
        <f t="shared" si="0"/>
        <v>533.40058997050141</v>
      </c>
      <c r="D21" s="278">
        <f t="shared" si="1"/>
        <v>33.337536873156338</v>
      </c>
      <c r="E21" s="277">
        <f t="shared" ref="E21:E54" si="13">N21+X21+AF21+AN21+AV21+BD21+BL21+BT21+CB21+CJ21</f>
        <v>2000.2522123893805</v>
      </c>
      <c r="F21" s="279"/>
      <c r="G21" s="285">
        <v>120</v>
      </c>
      <c r="H21" s="285">
        <v>120</v>
      </c>
      <c r="I21" s="285">
        <v>120</v>
      </c>
      <c r="J21" s="285">
        <v>120</v>
      </c>
      <c r="K21" s="285">
        <v>140</v>
      </c>
      <c r="L21" s="285">
        <v>120</v>
      </c>
      <c r="M21" s="285">
        <v>120</v>
      </c>
      <c r="N21" s="281">
        <f t="shared" si="2"/>
        <v>860</v>
      </c>
      <c r="O21" s="286" t="s">
        <v>84</v>
      </c>
      <c r="P21" s="282">
        <f>N21+N22</f>
        <v>1140</v>
      </c>
      <c r="Q21" s="282"/>
      <c r="R21" s="249">
        <f>P21+Q21</f>
        <v>1140</v>
      </c>
      <c r="S21" s="250">
        <f t="shared" si="3"/>
        <v>0.25221238938053098</v>
      </c>
      <c r="T21" s="287"/>
      <c r="U21" s="285"/>
      <c r="V21" s="285"/>
      <c r="W21" s="285"/>
      <c r="X21" s="284">
        <f t="shared" si="4"/>
        <v>1140.2522123893805</v>
      </c>
      <c r="Y21" s="285"/>
      <c r="Z21" s="285"/>
      <c r="AA21" s="285"/>
      <c r="AB21" s="285"/>
      <c r="AC21" s="285"/>
      <c r="AD21" s="285"/>
      <c r="AE21" s="285"/>
      <c r="AF21" s="284">
        <f t="shared" si="5"/>
        <v>0</v>
      </c>
      <c r="AG21" s="285"/>
      <c r="AH21" s="285"/>
      <c r="AI21" s="285"/>
      <c r="AJ21" s="285"/>
      <c r="AK21" s="285"/>
      <c r="AL21" s="285"/>
      <c r="AM21" s="285"/>
      <c r="AN21" s="284">
        <f t="shared" si="6"/>
        <v>0</v>
      </c>
      <c r="AO21" s="285"/>
      <c r="AP21" s="285"/>
      <c r="AQ21" s="285"/>
      <c r="AR21" s="285"/>
      <c r="AS21" s="285"/>
      <c r="AT21" s="285"/>
      <c r="AU21" s="285"/>
      <c r="AV21" s="284">
        <f t="shared" si="7"/>
        <v>0</v>
      </c>
      <c r="AW21" s="285"/>
      <c r="AX21" s="285"/>
      <c r="AY21" s="285"/>
      <c r="AZ21" s="285"/>
      <c r="BA21" s="285"/>
      <c r="BB21" s="285"/>
      <c r="BC21" s="285"/>
      <c r="BD21" s="284">
        <f t="shared" si="8"/>
        <v>0</v>
      </c>
      <c r="BE21" s="285"/>
      <c r="BF21" s="285"/>
      <c r="BG21" s="285"/>
      <c r="BH21" s="285"/>
      <c r="BI21" s="285"/>
      <c r="BJ21" s="285"/>
      <c r="BK21" s="285"/>
      <c r="BL21" s="284">
        <f t="shared" si="9"/>
        <v>0</v>
      </c>
      <c r="BM21" s="285"/>
      <c r="BN21" s="285"/>
      <c r="BO21" s="285"/>
      <c r="BP21" s="285"/>
      <c r="BQ21" s="285"/>
      <c r="BR21" s="285"/>
      <c r="BS21" s="285"/>
      <c r="BT21" s="284">
        <f t="shared" si="10"/>
        <v>0</v>
      </c>
      <c r="BU21" s="285"/>
      <c r="BV21" s="285"/>
      <c r="BW21" s="285"/>
      <c r="BX21" s="285"/>
      <c r="BY21" s="285"/>
      <c r="BZ21" s="285"/>
      <c r="CA21" s="285"/>
      <c r="CB21" s="284">
        <f t="shared" si="11"/>
        <v>0</v>
      </c>
      <c r="CC21" s="285"/>
      <c r="CD21" s="285"/>
      <c r="CE21" s="285"/>
      <c r="CF21" s="285"/>
      <c r="CG21" s="285"/>
      <c r="CH21" s="285"/>
      <c r="CI21" s="285"/>
      <c r="CJ21" s="284">
        <f t="shared" si="12"/>
        <v>0</v>
      </c>
    </row>
    <row r="22" spans="1:88" x14ac:dyDescent="0.25">
      <c r="A22" s="27">
        <v>4</v>
      </c>
      <c r="B22" s="277" t="s">
        <v>145</v>
      </c>
      <c r="C22" s="278">
        <f t="shared" si="0"/>
        <v>666.77581120943955</v>
      </c>
      <c r="D22" s="278">
        <f t="shared" si="1"/>
        <v>41.673488200589972</v>
      </c>
      <c r="E22" s="277">
        <f t="shared" si="13"/>
        <v>2500.4092920353983</v>
      </c>
      <c r="F22" s="279"/>
      <c r="G22" s="285"/>
      <c r="H22" s="285"/>
      <c r="I22" s="285"/>
      <c r="J22" s="285"/>
      <c r="K22" s="285"/>
      <c r="L22" s="285"/>
      <c r="M22" s="285">
        <v>280</v>
      </c>
      <c r="N22" s="281">
        <f t="shared" si="2"/>
        <v>280</v>
      </c>
      <c r="O22" s="286" t="s">
        <v>85</v>
      </c>
      <c r="P22" s="282">
        <f>N20+N23+N24+N25+N26+N27+N28+N48</f>
        <v>1480</v>
      </c>
      <c r="Q22" s="282">
        <f>R19</f>
        <v>370</v>
      </c>
      <c r="R22" s="249">
        <f>P22+Q22</f>
        <v>1850</v>
      </c>
      <c r="S22" s="250">
        <f t="shared" si="3"/>
        <v>0.40929203539823011</v>
      </c>
      <c r="T22" s="287"/>
      <c r="U22" s="285"/>
      <c r="V22" s="285"/>
      <c r="W22" s="285"/>
      <c r="X22" s="284">
        <f t="shared" si="4"/>
        <v>2220.4092920353983</v>
      </c>
      <c r="Y22" s="285"/>
      <c r="Z22" s="285"/>
      <c r="AA22" s="285"/>
      <c r="AB22" s="285"/>
      <c r="AC22" s="285"/>
      <c r="AD22" s="285"/>
      <c r="AE22" s="285"/>
      <c r="AF22" s="284">
        <f t="shared" si="5"/>
        <v>0</v>
      </c>
      <c r="AG22" s="285"/>
      <c r="AH22" s="285"/>
      <c r="AI22" s="285"/>
      <c r="AJ22" s="285"/>
      <c r="AK22" s="285"/>
      <c r="AL22" s="285"/>
      <c r="AM22" s="285"/>
      <c r="AN22" s="284">
        <f t="shared" si="6"/>
        <v>0</v>
      </c>
      <c r="AO22" s="285"/>
      <c r="AP22" s="285"/>
      <c r="AQ22" s="285"/>
      <c r="AR22" s="285"/>
      <c r="AS22" s="285"/>
      <c r="AT22" s="285"/>
      <c r="AU22" s="285"/>
      <c r="AV22" s="284">
        <f t="shared" si="7"/>
        <v>0</v>
      </c>
      <c r="AW22" s="285"/>
      <c r="AX22" s="285"/>
      <c r="AY22" s="285"/>
      <c r="AZ22" s="285"/>
      <c r="BA22" s="285"/>
      <c r="BB22" s="285"/>
      <c r="BC22" s="285"/>
      <c r="BD22" s="284">
        <f t="shared" si="8"/>
        <v>0</v>
      </c>
      <c r="BE22" s="285"/>
      <c r="BF22" s="285"/>
      <c r="BG22" s="285"/>
      <c r="BH22" s="285"/>
      <c r="BI22" s="285"/>
      <c r="BJ22" s="285"/>
      <c r="BK22" s="285"/>
      <c r="BL22" s="284">
        <f t="shared" si="9"/>
        <v>0</v>
      </c>
      <c r="BM22" s="285"/>
      <c r="BN22" s="285"/>
      <c r="BO22" s="285"/>
      <c r="BP22" s="285"/>
      <c r="BQ22" s="285"/>
      <c r="BR22" s="285"/>
      <c r="BS22" s="285"/>
      <c r="BT22" s="284">
        <f t="shared" si="10"/>
        <v>0</v>
      </c>
      <c r="BU22" s="285"/>
      <c r="BV22" s="285"/>
      <c r="BW22" s="285"/>
      <c r="BX22" s="285"/>
      <c r="BY22" s="285"/>
      <c r="BZ22" s="285"/>
      <c r="CA22" s="285"/>
      <c r="CB22" s="284">
        <f t="shared" si="11"/>
        <v>0</v>
      </c>
      <c r="CC22" s="285"/>
      <c r="CD22" s="285"/>
      <c r="CE22" s="285"/>
      <c r="CF22" s="285"/>
      <c r="CG22" s="285"/>
      <c r="CH22" s="285"/>
      <c r="CI22" s="285"/>
      <c r="CJ22" s="284">
        <f t="shared" si="12"/>
        <v>0</v>
      </c>
    </row>
    <row r="23" spans="1:88" x14ac:dyDescent="0.25">
      <c r="A23" s="27">
        <v>6</v>
      </c>
      <c r="B23" s="277" t="s">
        <v>146</v>
      </c>
      <c r="C23" s="278">
        <f t="shared" si="0"/>
        <v>120</v>
      </c>
      <c r="D23" s="278">
        <f t="shared" si="1"/>
        <v>7.5</v>
      </c>
      <c r="E23" s="277">
        <f t="shared" si="13"/>
        <v>450</v>
      </c>
      <c r="F23" s="279"/>
      <c r="G23" s="285">
        <v>55</v>
      </c>
      <c r="H23" s="285">
        <v>150</v>
      </c>
      <c r="I23" s="285">
        <v>55</v>
      </c>
      <c r="J23" s="285">
        <v>45</v>
      </c>
      <c r="K23" s="285">
        <v>55</v>
      </c>
      <c r="L23" s="285">
        <v>45</v>
      </c>
      <c r="M23" s="285">
        <v>45</v>
      </c>
      <c r="N23" s="281">
        <f t="shared" si="2"/>
        <v>450</v>
      </c>
      <c r="O23" s="248"/>
      <c r="P23" s="233"/>
      <c r="Q23" s="282"/>
      <c r="R23" s="282"/>
      <c r="S23" s="250">
        <f t="shared" si="3"/>
        <v>0</v>
      </c>
      <c r="T23" s="287"/>
      <c r="U23" s="285"/>
      <c r="V23" s="285"/>
      <c r="W23" s="285"/>
      <c r="X23" s="284">
        <f t="shared" si="4"/>
        <v>0</v>
      </c>
      <c r="Y23" s="285"/>
      <c r="Z23" s="285"/>
      <c r="AA23" s="285"/>
      <c r="AB23" s="285"/>
      <c r="AC23" s="285"/>
      <c r="AD23" s="285"/>
      <c r="AE23" s="285"/>
      <c r="AF23" s="284">
        <f t="shared" si="5"/>
        <v>0</v>
      </c>
      <c r="AG23" s="285"/>
      <c r="AH23" s="285"/>
      <c r="AI23" s="285"/>
      <c r="AJ23" s="285"/>
      <c r="AK23" s="285"/>
      <c r="AL23" s="285"/>
      <c r="AM23" s="285"/>
      <c r="AN23" s="284">
        <f t="shared" si="6"/>
        <v>0</v>
      </c>
      <c r="AO23" s="285"/>
      <c r="AP23" s="285"/>
      <c r="AQ23" s="285"/>
      <c r="AR23" s="285"/>
      <c r="AS23" s="285"/>
      <c r="AT23" s="285"/>
      <c r="AU23" s="285"/>
      <c r="AV23" s="284">
        <f t="shared" si="7"/>
        <v>0</v>
      </c>
      <c r="AW23" s="285"/>
      <c r="AX23" s="285"/>
      <c r="AY23" s="285"/>
      <c r="AZ23" s="285"/>
      <c r="BA23" s="285"/>
      <c r="BB23" s="285"/>
      <c r="BC23" s="285"/>
      <c r="BD23" s="284">
        <f t="shared" si="8"/>
        <v>0</v>
      </c>
      <c r="BE23" s="285"/>
      <c r="BF23" s="285"/>
      <c r="BG23" s="285"/>
      <c r="BH23" s="285"/>
      <c r="BI23" s="285"/>
      <c r="BJ23" s="285"/>
      <c r="BK23" s="285"/>
      <c r="BL23" s="284">
        <f t="shared" si="9"/>
        <v>0</v>
      </c>
      <c r="BM23" s="285"/>
      <c r="BN23" s="285"/>
      <c r="BO23" s="285"/>
      <c r="BP23" s="285"/>
      <c r="BQ23" s="285"/>
      <c r="BR23" s="285"/>
      <c r="BS23" s="285"/>
      <c r="BT23" s="284">
        <f t="shared" si="10"/>
        <v>0</v>
      </c>
      <c r="BU23" s="285"/>
      <c r="BV23" s="285"/>
      <c r="BW23" s="285"/>
      <c r="BX23" s="285"/>
      <c r="BY23" s="285"/>
      <c r="BZ23" s="285"/>
      <c r="CA23" s="285"/>
      <c r="CB23" s="284">
        <f t="shared" si="11"/>
        <v>0</v>
      </c>
      <c r="CC23" s="285"/>
      <c r="CD23" s="285"/>
      <c r="CE23" s="285"/>
      <c r="CF23" s="285"/>
      <c r="CG23" s="285"/>
      <c r="CH23" s="285"/>
      <c r="CI23" s="285"/>
      <c r="CJ23" s="284">
        <f t="shared" si="12"/>
        <v>0</v>
      </c>
    </row>
    <row r="24" spans="1:88" x14ac:dyDescent="0.25">
      <c r="A24" s="27">
        <v>6</v>
      </c>
      <c r="B24" s="277" t="s">
        <v>147</v>
      </c>
      <c r="C24" s="278">
        <f t="shared" si="0"/>
        <v>266.70943952802361</v>
      </c>
      <c r="D24" s="278">
        <f t="shared" si="1"/>
        <v>16.669339970501476</v>
      </c>
      <c r="E24" s="277">
        <f t="shared" si="13"/>
        <v>1000.1603982300885</v>
      </c>
      <c r="F24" s="279"/>
      <c r="G24" s="285">
        <v>40</v>
      </c>
      <c r="H24" s="285">
        <v>50</v>
      </c>
      <c r="I24" s="285">
        <v>40</v>
      </c>
      <c r="J24" s="285">
        <v>35</v>
      </c>
      <c r="K24" s="285">
        <v>40</v>
      </c>
      <c r="L24" s="285">
        <v>35</v>
      </c>
      <c r="M24" s="285">
        <v>35</v>
      </c>
      <c r="N24" s="281">
        <f t="shared" si="2"/>
        <v>275</v>
      </c>
      <c r="O24" s="286" t="s">
        <v>86</v>
      </c>
      <c r="P24" s="282">
        <f>SUM(N31:N36)+N50</f>
        <v>725</v>
      </c>
      <c r="Q24" s="282"/>
      <c r="R24" s="282">
        <f>P24</f>
        <v>725</v>
      </c>
      <c r="S24" s="250">
        <f t="shared" si="3"/>
        <v>0.16039823008849557</v>
      </c>
      <c r="T24" s="287"/>
      <c r="U24" s="285"/>
      <c r="V24" s="285"/>
      <c r="W24" s="285"/>
      <c r="X24" s="284">
        <f t="shared" si="4"/>
        <v>725.1603982300885</v>
      </c>
      <c r="Y24" s="285"/>
      <c r="Z24" s="285"/>
      <c r="AA24" s="285"/>
      <c r="AB24" s="285"/>
      <c r="AC24" s="285"/>
      <c r="AD24" s="285"/>
      <c r="AE24" s="285"/>
      <c r="AF24" s="284">
        <f t="shared" si="5"/>
        <v>0</v>
      </c>
      <c r="AG24" s="285"/>
      <c r="AH24" s="285"/>
      <c r="AI24" s="285"/>
      <c r="AJ24" s="285"/>
      <c r="AK24" s="285"/>
      <c r="AL24" s="285"/>
      <c r="AM24" s="285"/>
      <c r="AN24" s="284">
        <f t="shared" si="6"/>
        <v>0</v>
      </c>
      <c r="AO24" s="285"/>
      <c r="AP24" s="285"/>
      <c r="AQ24" s="285"/>
      <c r="AR24" s="285"/>
      <c r="AS24" s="285"/>
      <c r="AT24" s="285"/>
      <c r="AU24" s="285"/>
      <c r="AV24" s="284">
        <f t="shared" si="7"/>
        <v>0</v>
      </c>
      <c r="AW24" s="285"/>
      <c r="AX24" s="285"/>
      <c r="AY24" s="285"/>
      <c r="AZ24" s="285"/>
      <c r="BA24" s="285"/>
      <c r="BB24" s="285"/>
      <c r="BC24" s="285"/>
      <c r="BD24" s="284">
        <f t="shared" si="8"/>
        <v>0</v>
      </c>
      <c r="BE24" s="285"/>
      <c r="BF24" s="285"/>
      <c r="BG24" s="285"/>
      <c r="BH24" s="285"/>
      <c r="BI24" s="285"/>
      <c r="BJ24" s="285"/>
      <c r="BK24" s="285"/>
      <c r="BL24" s="284">
        <f t="shared" si="9"/>
        <v>0</v>
      </c>
      <c r="BM24" s="285"/>
      <c r="BN24" s="285"/>
      <c r="BO24" s="285"/>
      <c r="BP24" s="285"/>
      <c r="BQ24" s="285"/>
      <c r="BR24" s="285"/>
      <c r="BS24" s="285"/>
      <c r="BT24" s="284">
        <f t="shared" si="10"/>
        <v>0</v>
      </c>
      <c r="BU24" s="285"/>
      <c r="BV24" s="285"/>
      <c r="BW24" s="285"/>
      <c r="BX24" s="285"/>
      <c r="BY24" s="285"/>
      <c r="BZ24" s="285"/>
      <c r="CA24" s="285"/>
      <c r="CB24" s="284">
        <f t="shared" si="11"/>
        <v>0</v>
      </c>
      <c r="CC24" s="285"/>
      <c r="CD24" s="285"/>
      <c r="CE24" s="285"/>
      <c r="CF24" s="285"/>
      <c r="CG24" s="285"/>
      <c r="CH24" s="285"/>
      <c r="CI24" s="285"/>
      <c r="CJ24" s="284">
        <f t="shared" si="12"/>
        <v>0</v>
      </c>
    </row>
    <row r="25" spans="1:88" x14ac:dyDescent="0.25">
      <c r="A25" s="27">
        <v>6</v>
      </c>
      <c r="B25" s="277" t="s">
        <v>148</v>
      </c>
      <c r="C25" s="278">
        <f t="shared" si="0"/>
        <v>84</v>
      </c>
      <c r="D25" s="278">
        <f t="shared" si="1"/>
        <v>5.25</v>
      </c>
      <c r="E25" s="277">
        <f t="shared" si="13"/>
        <v>315</v>
      </c>
      <c r="F25" s="279"/>
      <c r="G25" s="285">
        <v>75</v>
      </c>
      <c r="H25" s="285">
        <v>45</v>
      </c>
      <c r="I25" s="285">
        <v>45</v>
      </c>
      <c r="J25" s="285">
        <v>45</v>
      </c>
      <c r="K25" s="285">
        <v>45</v>
      </c>
      <c r="L25" s="285">
        <v>30</v>
      </c>
      <c r="M25" s="285">
        <v>30</v>
      </c>
      <c r="N25" s="281">
        <f t="shared" si="2"/>
        <v>315</v>
      </c>
      <c r="O25" s="286"/>
      <c r="P25" s="282"/>
      <c r="Q25" s="282"/>
      <c r="R25" s="282">
        <f>P25</f>
        <v>0</v>
      </c>
      <c r="S25" s="250">
        <f t="shared" si="3"/>
        <v>0</v>
      </c>
      <c r="T25" s="287"/>
      <c r="U25" s="285"/>
      <c r="V25" s="285"/>
      <c r="W25" s="285"/>
      <c r="X25" s="284">
        <f t="shared" si="4"/>
        <v>0</v>
      </c>
      <c r="Y25" s="285"/>
      <c r="Z25" s="285"/>
      <c r="AA25" s="285"/>
      <c r="AB25" s="285"/>
      <c r="AC25" s="285"/>
      <c r="AD25" s="285"/>
      <c r="AE25" s="285"/>
      <c r="AF25" s="284">
        <f t="shared" si="5"/>
        <v>0</v>
      </c>
      <c r="AG25" s="285"/>
      <c r="AH25" s="285"/>
      <c r="AI25" s="285"/>
      <c r="AJ25" s="285"/>
      <c r="AK25" s="285"/>
      <c r="AL25" s="285"/>
      <c r="AM25" s="285"/>
      <c r="AN25" s="284">
        <f t="shared" si="6"/>
        <v>0</v>
      </c>
      <c r="AO25" s="285"/>
      <c r="AP25" s="285"/>
      <c r="AQ25" s="285"/>
      <c r="AR25" s="285"/>
      <c r="AS25" s="285"/>
      <c r="AT25" s="285"/>
      <c r="AU25" s="285"/>
      <c r="AV25" s="284">
        <f t="shared" si="7"/>
        <v>0</v>
      </c>
      <c r="AW25" s="285"/>
      <c r="AX25" s="285"/>
      <c r="AY25" s="285"/>
      <c r="AZ25" s="285"/>
      <c r="BA25" s="285"/>
      <c r="BB25" s="285"/>
      <c r="BC25" s="285"/>
      <c r="BD25" s="284">
        <f t="shared" si="8"/>
        <v>0</v>
      </c>
      <c r="BE25" s="285"/>
      <c r="BF25" s="285"/>
      <c r="BG25" s="285"/>
      <c r="BH25" s="285"/>
      <c r="BI25" s="285"/>
      <c r="BJ25" s="285"/>
      <c r="BK25" s="285"/>
      <c r="BL25" s="284">
        <f t="shared" si="9"/>
        <v>0</v>
      </c>
      <c r="BM25" s="285"/>
      <c r="BN25" s="285"/>
      <c r="BO25" s="285"/>
      <c r="BP25" s="285"/>
      <c r="BQ25" s="285"/>
      <c r="BR25" s="285"/>
      <c r="BS25" s="285"/>
      <c r="BT25" s="284">
        <f t="shared" si="10"/>
        <v>0</v>
      </c>
      <c r="BU25" s="285"/>
      <c r="BV25" s="285"/>
      <c r="BW25" s="285"/>
      <c r="BX25" s="285"/>
      <c r="BY25" s="285"/>
      <c r="BZ25" s="285"/>
      <c r="CA25" s="285"/>
      <c r="CB25" s="284">
        <f t="shared" si="11"/>
        <v>0</v>
      </c>
      <c r="CC25" s="285"/>
      <c r="CD25" s="285"/>
      <c r="CE25" s="285"/>
      <c r="CF25" s="285"/>
      <c r="CG25" s="285"/>
      <c r="CH25" s="285"/>
      <c r="CI25" s="285"/>
      <c r="CJ25" s="284">
        <f t="shared" si="12"/>
        <v>0</v>
      </c>
    </row>
    <row r="26" spans="1:88" ht="15.75" thickBot="1" x14ac:dyDescent="0.3">
      <c r="A26" s="27">
        <v>6</v>
      </c>
      <c r="B26" s="277" t="s">
        <v>149</v>
      </c>
      <c r="C26" s="278">
        <f t="shared" si="0"/>
        <v>18.666666666666668</v>
      </c>
      <c r="D26" s="278">
        <f t="shared" si="1"/>
        <v>1.1666666666666667</v>
      </c>
      <c r="E26" s="277">
        <f t="shared" si="13"/>
        <v>70</v>
      </c>
      <c r="F26" s="279"/>
      <c r="G26" s="285">
        <v>15</v>
      </c>
      <c r="H26" s="285">
        <v>15</v>
      </c>
      <c r="I26" s="285">
        <v>20</v>
      </c>
      <c r="J26" s="285">
        <v>0</v>
      </c>
      <c r="K26" s="285">
        <v>10</v>
      </c>
      <c r="L26" s="285">
        <v>10</v>
      </c>
      <c r="M26" s="285">
        <v>0</v>
      </c>
      <c r="N26" s="281">
        <f t="shared" si="2"/>
        <v>70</v>
      </c>
      <c r="O26" s="288" t="s">
        <v>87</v>
      </c>
      <c r="P26" s="289">
        <v>0</v>
      </c>
      <c r="Q26" s="289"/>
      <c r="R26" s="289">
        <f>P26</f>
        <v>0</v>
      </c>
      <c r="S26" s="258">
        <f t="shared" si="3"/>
        <v>0</v>
      </c>
      <c r="T26" s="287"/>
      <c r="U26" s="285"/>
      <c r="V26" s="285"/>
      <c r="W26" s="285"/>
      <c r="X26" s="284">
        <f t="shared" si="4"/>
        <v>0</v>
      </c>
      <c r="Y26" s="285"/>
      <c r="Z26" s="285"/>
      <c r="AA26" s="285"/>
      <c r="AB26" s="285"/>
      <c r="AC26" s="285"/>
      <c r="AD26" s="285"/>
      <c r="AE26" s="285"/>
      <c r="AF26" s="284">
        <f t="shared" si="5"/>
        <v>0</v>
      </c>
      <c r="AG26" s="285"/>
      <c r="AH26" s="285"/>
      <c r="AI26" s="285"/>
      <c r="AJ26" s="285"/>
      <c r="AK26" s="285"/>
      <c r="AL26" s="285"/>
      <c r="AM26" s="285"/>
      <c r="AN26" s="284">
        <f t="shared" si="6"/>
        <v>0</v>
      </c>
      <c r="AO26" s="285"/>
      <c r="AP26" s="285"/>
      <c r="AQ26" s="285"/>
      <c r="AR26" s="285"/>
      <c r="AS26" s="285"/>
      <c r="AT26" s="285"/>
      <c r="AU26" s="285"/>
      <c r="AV26" s="284">
        <f t="shared" si="7"/>
        <v>0</v>
      </c>
      <c r="AW26" s="285"/>
      <c r="AX26" s="285"/>
      <c r="AY26" s="285"/>
      <c r="AZ26" s="285"/>
      <c r="BA26" s="285"/>
      <c r="BB26" s="285"/>
      <c r="BC26" s="285"/>
      <c r="BD26" s="284">
        <f t="shared" si="8"/>
        <v>0</v>
      </c>
      <c r="BE26" s="285"/>
      <c r="BF26" s="285"/>
      <c r="BG26" s="285"/>
      <c r="BH26" s="285"/>
      <c r="BI26" s="285"/>
      <c r="BJ26" s="285"/>
      <c r="BK26" s="285"/>
      <c r="BL26" s="284">
        <f t="shared" si="9"/>
        <v>0</v>
      </c>
      <c r="BM26" s="285"/>
      <c r="BN26" s="285"/>
      <c r="BO26" s="285"/>
      <c r="BP26" s="285"/>
      <c r="BQ26" s="285"/>
      <c r="BR26" s="285"/>
      <c r="BS26" s="285"/>
      <c r="BT26" s="284">
        <f t="shared" si="10"/>
        <v>0</v>
      </c>
      <c r="BU26" s="285"/>
      <c r="BV26" s="285"/>
      <c r="BW26" s="285"/>
      <c r="BX26" s="285"/>
      <c r="BY26" s="285"/>
      <c r="BZ26" s="285"/>
      <c r="CA26" s="285"/>
      <c r="CB26" s="284">
        <f t="shared" si="11"/>
        <v>0</v>
      </c>
      <c r="CC26" s="285"/>
      <c r="CD26" s="285"/>
      <c r="CE26" s="285"/>
      <c r="CF26" s="285"/>
      <c r="CG26" s="285"/>
      <c r="CH26" s="285"/>
      <c r="CI26" s="285"/>
      <c r="CJ26" s="284">
        <f t="shared" si="12"/>
        <v>0</v>
      </c>
    </row>
    <row r="27" spans="1:88" x14ac:dyDescent="0.25">
      <c r="A27" s="27">
        <v>6</v>
      </c>
      <c r="B27" s="277" t="s">
        <v>150</v>
      </c>
      <c r="C27" s="278">
        <f t="shared" si="0"/>
        <v>38.666666666666664</v>
      </c>
      <c r="D27" s="278">
        <f t="shared" si="1"/>
        <v>2.4166666666666665</v>
      </c>
      <c r="E27" s="277">
        <f t="shared" si="13"/>
        <v>145</v>
      </c>
      <c r="F27" s="279"/>
      <c r="G27" s="285">
        <v>35</v>
      </c>
      <c r="H27" s="285">
        <v>15</v>
      </c>
      <c r="I27" s="285">
        <v>25</v>
      </c>
      <c r="J27" s="285">
        <v>15</v>
      </c>
      <c r="K27" s="285">
        <v>15</v>
      </c>
      <c r="L27" s="285">
        <v>25</v>
      </c>
      <c r="M27" s="285">
        <v>15</v>
      </c>
      <c r="N27" s="281">
        <f t="shared" si="2"/>
        <v>145</v>
      </c>
      <c r="O27" s="290"/>
      <c r="P27" s="290"/>
      <c r="Q27" s="290" t="s">
        <v>103</v>
      </c>
      <c r="R27" s="291">
        <f>SUM(R20:R26)</f>
        <v>4520</v>
      </c>
      <c r="S27" s="290"/>
      <c r="T27" s="287"/>
      <c r="U27" s="285"/>
      <c r="V27" s="285"/>
      <c r="W27" s="285"/>
      <c r="X27" s="284">
        <f>SUM(T27:W27)</f>
        <v>0</v>
      </c>
      <c r="Y27" s="285"/>
      <c r="Z27" s="285"/>
      <c r="AA27" s="285"/>
      <c r="AB27" s="285"/>
      <c r="AC27" s="285"/>
      <c r="AD27" s="285"/>
      <c r="AE27" s="285"/>
      <c r="AF27" s="284">
        <f t="shared" si="5"/>
        <v>0</v>
      </c>
      <c r="AG27" s="285"/>
      <c r="AH27" s="285"/>
      <c r="AI27" s="285"/>
      <c r="AJ27" s="285"/>
      <c r="AK27" s="285"/>
      <c r="AL27" s="285"/>
      <c r="AM27" s="285"/>
      <c r="AN27" s="284">
        <f t="shared" si="6"/>
        <v>0</v>
      </c>
      <c r="AO27" s="285"/>
      <c r="AP27" s="285"/>
      <c r="AQ27" s="285"/>
      <c r="AR27" s="285"/>
      <c r="AS27" s="285"/>
      <c r="AT27" s="285"/>
      <c r="AU27" s="285"/>
      <c r="AV27" s="284">
        <f t="shared" si="7"/>
        <v>0</v>
      </c>
      <c r="AW27" s="285"/>
      <c r="AX27" s="285"/>
      <c r="AY27" s="285"/>
      <c r="AZ27" s="285"/>
      <c r="BA27" s="285"/>
      <c r="BB27" s="285"/>
      <c r="BC27" s="285"/>
      <c r="BD27" s="284">
        <f t="shared" si="8"/>
        <v>0</v>
      </c>
      <c r="BE27" s="285"/>
      <c r="BF27" s="285"/>
      <c r="BG27" s="285"/>
      <c r="BH27" s="285"/>
      <c r="BI27" s="285"/>
      <c r="BJ27" s="285"/>
      <c r="BK27" s="285"/>
      <c r="BL27" s="284">
        <f t="shared" si="9"/>
        <v>0</v>
      </c>
      <c r="BM27" s="285"/>
      <c r="BN27" s="285"/>
      <c r="BO27" s="285"/>
      <c r="BP27" s="285"/>
      <c r="BQ27" s="285"/>
      <c r="BR27" s="285"/>
      <c r="BS27" s="285"/>
      <c r="BT27" s="284">
        <f t="shared" si="10"/>
        <v>0</v>
      </c>
      <c r="BU27" s="285"/>
      <c r="BV27" s="285"/>
      <c r="BW27" s="285"/>
      <c r="BX27" s="285"/>
      <c r="BY27" s="285"/>
      <c r="BZ27" s="285"/>
      <c r="CA27" s="285"/>
      <c r="CB27" s="284">
        <f t="shared" si="11"/>
        <v>0</v>
      </c>
      <c r="CC27" s="285"/>
      <c r="CD27" s="285"/>
      <c r="CE27" s="285"/>
      <c r="CF27" s="285"/>
      <c r="CG27" s="285"/>
      <c r="CH27" s="285"/>
      <c r="CI27" s="285"/>
      <c r="CJ27" s="284">
        <f t="shared" si="12"/>
        <v>0</v>
      </c>
    </row>
    <row r="28" spans="1:88" x14ac:dyDescent="0.25">
      <c r="A28" s="27">
        <v>6</v>
      </c>
      <c r="B28" s="277" t="s">
        <v>150</v>
      </c>
      <c r="C28" s="278">
        <f t="shared" si="0"/>
        <v>12</v>
      </c>
      <c r="D28" s="278">
        <f t="shared" si="1"/>
        <v>0.75</v>
      </c>
      <c r="E28" s="277">
        <f t="shared" si="13"/>
        <v>45</v>
      </c>
      <c r="F28" s="279"/>
      <c r="G28" s="285"/>
      <c r="H28" s="285">
        <v>45</v>
      </c>
      <c r="I28" s="285"/>
      <c r="J28" s="285"/>
      <c r="K28" s="285"/>
      <c r="L28" s="285"/>
      <c r="M28" s="285"/>
      <c r="N28" s="284">
        <f t="shared" si="2"/>
        <v>45</v>
      </c>
      <c r="O28" s="292">
        <f>SUM(N19:N28)</f>
        <v>3205</v>
      </c>
      <c r="P28" s="292">
        <f>SUM(P21:P26)+P20</f>
        <v>4150</v>
      </c>
      <c r="Q28" s="280"/>
      <c r="R28" s="280"/>
      <c r="S28" s="280"/>
      <c r="T28" s="285"/>
      <c r="U28" s="285"/>
      <c r="V28" s="285"/>
      <c r="W28" s="285"/>
      <c r="X28" s="284">
        <f t="shared" si="4"/>
        <v>0</v>
      </c>
      <c r="Y28" s="285"/>
      <c r="Z28" s="285"/>
      <c r="AA28" s="285"/>
      <c r="AB28" s="285"/>
      <c r="AC28" s="285"/>
      <c r="AD28" s="285"/>
      <c r="AE28" s="285"/>
      <c r="AF28" s="284">
        <f t="shared" si="5"/>
        <v>0</v>
      </c>
      <c r="AG28" s="285"/>
      <c r="AH28" s="285"/>
      <c r="AI28" s="285"/>
      <c r="AJ28" s="285"/>
      <c r="AK28" s="285"/>
      <c r="AL28" s="285"/>
      <c r="AM28" s="285"/>
      <c r="AN28" s="284">
        <f t="shared" si="6"/>
        <v>0</v>
      </c>
      <c r="AO28" s="285"/>
      <c r="AP28" s="285"/>
      <c r="AQ28" s="285"/>
      <c r="AR28" s="285"/>
      <c r="AS28" s="285"/>
      <c r="AT28" s="285"/>
      <c r="AU28" s="285"/>
      <c r="AV28" s="284">
        <f t="shared" si="7"/>
        <v>0</v>
      </c>
      <c r="AW28" s="285"/>
      <c r="AX28" s="285"/>
      <c r="AY28" s="285"/>
      <c r="AZ28" s="285"/>
      <c r="BA28" s="285"/>
      <c r="BB28" s="285"/>
      <c r="BC28" s="285"/>
      <c r="BD28" s="284">
        <f t="shared" si="8"/>
        <v>0</v>
      </c>
      <c r="BE28" s="285"/>
      <c r="BF28" s="285"/>
      <c r="BG28" s="285"/>
      <c r="BH28" s="285"/>
      <c r="BI28" s="285"/>
      <c r="BJ28" s="285"/>
      <c r="BK28" s="285"/>
      <c r="BL28" s="284">
        <f t="shared" si="9"/>
        <v>0</v>
      </c>
      <c r="BM28" s="285"/>
      <c r="BN28" s="285"/>
      <c r="BO28" s="285"/>
      <c r="BP28" s="285"/>
      <c r="BQ28" s="285"/>
      <c r="BR28" s="285"/>
      <c r="BS28" s="285"/>
      <c r="BT28" s="284">
        <f t="shared" si="10"/>
        <v>0</v>
      </c>
      <c r="BU28" s="285"/>
      <c r="BV28" s="285"/>
      <c r="BW28" s="285"/>
      <c r="BX28" s="285"/>
      <c r="BY28" s="285"/>
      <c r="BZ28" s="285"/>
      <c r="CA28" s="285"/>
      <c r="CB28" s="284">
        <f t="shared" si="11"/>
        <v>0</v>
      </c>
      <c r="CC28" s="285"/>
      <c r="CD28" s="285"/>
      <c r="CE28" s="285"/>
      <c r="CF28" s="285"/>
      <c r="CG28" s="285"/>
      <c r="CH28" s="285"/>
      <c r="CI28" s="285"/>
      <c r="CJ28" s="284">
        <f t="shared" si="12"/>
        <v>0</v>
      </c>
    </row>
    <row r="29" spans="1:88" x14ac:dyDescent="0.25">
      <c r="B29" s="251"/>
      <c r="C29" s="235"/>
      <c r="D29" s="235"/>
      <c r="E29" s="235"/>
      <c r="F29" s="235"/>
      <c r="G29" s="235"/>
      <c r="H29" s="235"/>
      <c r="I29" s="235"/>
      <c r="J29" s="235"/>
      <c r="K29" s="235"/>
      <c r="L29" s="235"/>
      <c r="M29" s="235"/>
      <c r="N29" s="293"/>
      <c r="O29" s="233"/>
      <c r="P29" s="294">
        <f>N56</f>
        <v>4520</v>
      </c>
      <c r="Q29" s="235"/>
      <c r="R29" s="235"/>
      <c r="S29" s="235"/>
      <c r="T29" s="235"/>
      <c r="U29" s="235"/>
      <c r="V29" s="235"/>
      <c r="W29" s="235"/>
      <c r="X29" s="293"/>
      <c r="Y29" s="235"/>
      <c r="Z29" s="235"/>
      <c r="AA29" s="235"/>
      <c r="AB29" s="235"/>
      <c r="AC29" s="235"/>
      <c r="AD29" s="235"/>
      <c r="AE29" s="235"/>
      <c r="AF29" s="293"/>
      <c r="AG29" s="235"/>
      <c r="AH29" s="235"/>
      <c r="AI29" s="235"/>
      <c r="AJ29" s="235"/>
      <c r="AK29" s="235"/>
      <c r="AL29" s="235"/>
      <c r="AM29" s="235"/>
      <c r="AN29" s="293"/>
      <c r="AO29" s="235"/>
      <c r="AP29" s="235"/>
      <c r="AQ29" s="235"/>
      <c r="AR29" s="235"/>
      <c r="AS29" s="235"/>
      <c r="AT29" s="235"/>
      <c r="AU29" s="235"/>
      <c r="AV29" s="293"/>
      <c r="AW29" s="235"/>
      <c r="AX29" s="235"/>
      <c r="AY29" s="235"/>
      <c r="AZ29" s="235"/>
      <c r="BA29" s="235"/>
      <c r="BB29" s="235"/>
      <c r="BC29" s="235"/>
      <c r="BD29" s="293"/>
      <c r="BE29" s="235"/>
      <c r="BF29" s="235"/>
      <c r="BG29" s="235"/>
      <c r="BH29" s="235"/>
      <c r="BI29" s="235"/>
      <c r="BJ29" s="235"/>
      <c r="BK29" s="235"/>
      <c r="BL29" s="293"/>
      <c r="BM29" s="235"/>
      <c r="BN29" s="235"/>
      <c r="BO29" s="235"/>
      <c r="BP29" s="235"/>
      <c r="BQ29" s="235"/>
      <c r="BR29" s="235"/>
      <c r="BS29" s="235"/>
      <c r="BT29" s="293"/>
      <c r="BU29" s="235"/>
      <c r="BV29" s="235"/>
      <c r="BW29" s="235"/>
      <c r="BX29" s="235"/>
      <c r="BY29" s="235"/>
      <c r="BZ29" s="235"/>
      <c r="CA29" s="235"/>
      <c r="CB29" s="293"/>
      <c r="CC29" s="235"/>
      <c r="CD29" s="235"/>
      <c r="CE29" s="235"/>
      <c r="CF29" s="235"/>
      <c r="CG29" s="235"/>
      <c r="CH29" s="235"/>
      <c r="CI29" s="235"/>
      <c r="CJ29" s="293"/>
    </row>
    <row r="30" spans="1:88" x14ac:dyDescent="0.25">
      <c r="B30" s="237" t="s">
        <v>151</v>
      </c>
      <c r="C30" s="235"/>
      <c r="D30" s="235"/>
      <c r="E30" s="235"/>
      <c r="F30" s="235"/>
      <c r="G30" s="235"/>
      <c r="H30" s="235"/>
      <c r="I30" s="235"/>
      <c r="J30" s="235"/>
      <c r="K30" s="235"/>
      <c r="L30" s="235"/>
      <c r="M30" s="235"/>
      <c r="N30" s="295"/>
      <c r="O30" s="233"/>
      <c r="P30" s="294">
        <f>P28-P29+N53+N54</f>
        <v>0</v>
      </c>
      <c r="Q30" s="235"/>
      <c r="R30" s="235"/>
      <c r="S30" s="235"/>
      <c r="T30" s="235"/>
      <c r="U30" s="235"/>
      <c r="V30" s="235"/>
      <c r="W30" s="235"/>
      <c r="X30" s="295"/>
      <c r="Y30" s="235"/>
      <c r="Z30" s="235"/>
      <c r="AA30" s="235"/>
      <c r="AB30" s="235"/>
      <c r="AC30" s="235"/>
      <c r="AD30" s="235"/>
      <c r="AE30" s="235"/>
      <c r="AF30" s="295"/>
      <c r="AG30" s="235"/>
      <c r="AH30" s="235"/>
      <c r="AI30" s="235"/>
      <c r="AJ30" s="235"/>
      <c r="AK30" s="235"/>
      <c r="AL30" s="235"/>
      <c r="AM30" s="235"/>
      <c r="AN30" s="295"/>
      <c r="AO30" s="235"/>
      <c r="AP30" s="235"/>
      <c r="AQ30" s="235"/>
      <c r="AR30" s="235"/>
      <c r="AS30" s="235"/>
      <c r="AT30" s="235"/>
      <c r="AU30" s="235"/>
      <c r="AV30" s="295"/>
      <c r="AW30" s="235"/>
      <c r="AX30" s="235"/>
      <c r="AY30" s="235"/>
      <c r="AZ30" s="235"/>
      <c r="BA30" s="235"/>
      <c r="BB30" s="235"/>
      <c r="BC30" s="235"/>
      <c r="BD30" s="295"/>
      <c r="BE30" s="235"/>
      <c r="BF30" s="235"/>
      <c r="BG30" s="235"/>
      <c r="BH30" s="235"/>
      <c r="BI30" s="235"/>
      <c r="BJ30" s="235"/>
      <c r="BK30" s="235"/>
      <c r="BL30" s="295"/>
      <c r="BM30" s="235"/>
      <c r="BN30" s="235"/>
      <c r="BO30" s="235"/>
      <c r="BP30" s="235"/>
      <c r="BQ30" s="235"/>
      <c r="BR30" s="235"/>
      <c r="BS30" s="235"/>
      <c r="BT30" s="295"/>
      <c r="BU30" s="235"/>
      <c r="BV30" s="235"/>
      <c r="BW30" s="235"/>
      <c r="BX30" s="235"/>
      <c r="BY30" s="235"/>
      <c r="BZ30" s="235"/>
      <c r="CA30" s="235"/>
      <c r="CB30" s="295"/>
      <c r="CC30" s="235"/>
      <c r="CD30" s="235"/>
      <c r="CE30" s="235"/>
      <c r="CF30" s="235"/>
      <c r="CG30" s="235"/>
      <c r="CH30" s="235"/>
      <c r="CI30" s="235"/>
      <c r="CJ30" s="295"/>
    </row>
    <row r="31" spans="1:88" s="296" customFormat="1" x14ac:dyDescent="0.25">
      <c r="A31" s="296">
        <v>7</v>
      </c>
      <c r="B31" s="297" t="s">
        <v>152</v>
      </c>
      <c r="C31" s="278">
        <f t="shared" ref="C31:C36" si="14">E31*52/$C$7</f>
        <v>112</v>
      </c>
      <c r="D31" s="278">
        <f t="shared" ref="D31:D36" si="15">E31/60</f>
        <v>7</v>
      </c>
      <c r="E31" s="277">
        <f t="shared" si="13"/>
        <v>420</v>
      </c>
      <c r="F31" s="298"/>
      <c r="G31" s="299"/>
      <c r="H31" s="299"/>
      <c r="I31" s="299"/>
      <c r="J31" s="299"/>
      <c r="K31" s="299"/>
      <c r="L31" s="299"/>
      <c r="M31" s="299">
        <v>420</v>
      </c>
      <c r="N31" s="300">
        <f t="shared" si="2"/>
        <v>420</v>
      </c>
      <c r="O31" s="301"/>
      <c r="P31" s="301"/>
      <c r="Q31" s="299"/>
      <c r="R31" s="299"/>
      <c r="S31" s="299"/>
      <c r="T31" s="299"/>
      <c r="U31" s="299"/>
      <c r="V31" s="299"/>
      <c r="W31" s="299"/>
      <c r="X31" s="300">
        <f t="shared" ref="X31:X36" si="16">SUM(Q31:W31)</f>
        <v>0</v>
      </c>
      <c r="Y31" s="299"/>
      <c r="Z31" s="299"/>
      <c r="AA31" s="299"/>
      <c r="AB31" s="299"/>
      <c r="AC31" s="299"/>
      <c r="AD31" s="299"/>
      <c r="AE31" s="299"/>
      <c r="AF31" s="300">
        <f t="shared" ref="AF31:AF36" si="17">SUM(Y31:AE31)</f>
        <v>0</v>
      </c>
      <c r="AG31" s="299"/>
      <c r="AH31" s="299"/>
      <c r="AI31" s="299"/>
      <c r="AJ31" s="299"/>
      <c r="AK31" s="299"/>
      <c r="AL31" s="299"/>
      <c r="AM31" s="299"/>
      <c r="AN31" s="300">
        <f t="shared" ref="AN31:AN36" si="18">SUM(AG31:AM31)</f>
        <v>0</v>
      </c>
      <c r="AO31" s="299"/>
      <c r="AP31" s="299"/>
      <c r="AQ31" s="299"/>
      <c r="AR31" s="299"/>
      <c r="AS31" s="299"/>
      <c r="AT31" s="299"/>
      <c r="AU31" s="299"/>
      <c r="AV31" s="300">
        <f t="shared" ref="AV31:AV36" si="19">SUM(AO31:AU31)</f>
        <v>0</v>
      </c>
      <c r="AW31" s="299"/>
      <c r="AX31" s="299"/>
      <c r="AY31" s="299"/>
      <c r="AZ31" s="299"/>
      <c r="BA31" s="299"/>
      <c r="BB31" s="299"/>
      <c r="BC31" s="299"/>
      <c r="BD31" s="300">
        <f t="shared" ref="BD31:BD36" si="20">SUM(AW31:BC31)</f>
        <v>0</v>
      </c>
      <c r="BE31" s="299"/>
      <c r="BF31" s="299"/>
      <c r="BG31" s="299"/>
      <c r="BH31" s="299"/>
      <c r="BI31" s="299"/>
      <c r="BJ31" s="299"/>
      <c r="BK31" s="299"/>
      <c r="BL31" s="300">
        <f t="shared" ref="BL31:BL36" si="21">SUM(BE31:BK31)</f>
        <v>0</v>
      </c>
      <c r="BM31" s="299"/>
      <c r="BN31" s="299"/>
      <c r="BO31" s="299"/>
      <c r="BP31" s="299"/>
      <c r="BQ31" s="299"/>
      <c r="BR31" s="299"/>
      <c r="BS31" s="299"/>
      <c r="BT31" s="300">
        <f t="shared" ref="BT31:BT36" si="22">SUM(BM31:BS31)</f>
        <v>0</v>
      </c>
      <c r="BU31" s="299"/>
      <c r="BV31" s="299"/>
      <c r="BW31" s="299"/>
      <c r="BX31" s="299"/>
      <c r="BY31" s="299"/>
      <c r="BZ31" s="299"/>
      <c r="CA31" s="299"/>
      <c r="CB31" s="300">
        <f t="shared" ref="CB31:CB36" si="23">SUM(BU31:CA31)</f>
        <v>0</v>
      </c>
      <c r="CC31" s="299"/>
      <c r="CD31" s="299"/>
      <c r="CE31" s="299"/>
      <c r="CF31" s="299"/>
      <c r="CG31" s="299"/>
      <c r="CH31" s="299"/>
      <c r="CI31" s="299"/>
      <c r="CJ31" s="300">
        <f t="shared" ref="CJ31:CJ36" si="24">SUM(CC31:CI31)</f>
        <v>0</v>
      </c>
    </row>
    <row r="32" spans="1:88" s="296" customFormat="1" x14ac:dyDescent="0.25">
      <c r="A32" s="296">
        <v>7</v>
      </c>
      <c r="B32" s="297" t="s">
        <v>153</v>
      </c>
      <c r="C32" s="278">
        <f t="shared" si="14"/>
        <v>37.333333333333336</v>
      </c>
      <c r="D32" s="278">
        <f t="shared" si="15"/>
        <v>2.3333333333333335</v>
      </c>
      <c r="E32" s="277">
        <f t="shared" si="13"/>
        <v>140</v>
      </c>
      <c r="F32" s="298"/>
      <c r="G32" s="299"/>
      <c r="H32" s="299"/>
      <c r="I32" s="299"/>
      <c r="J32" s="299"/>
      <c r="K32" s="299"/>
      <c r="L32" s="299"/>
      <c r="M32" s="299">
        <v>140</v>
      </c>
      <c r="N32" s="284">
        <f t="shared" si="2"/>
        <v>140</v>
      </c>
      <c r="O32" s="292"/>
      <c r="P32" s="292"/>
      <c r="Q32" s="299"/>
      <c r="R32" s="299"/>
      <c r="S32" s="299"/>
      <c r="T32" s="299"/>
      <c r="U32" s="299"/>
      <c r="V32" s="299"/>
      <c r="W32" s="299"/>
      <c r="X32" s="284">
        <f t="shared" si="16"/>
        <v>0</v>
      </c>
      <c r="Y32" s="299"/>
      <c r="Z32" s="299"/>
      <c r="AA32" s="299"/>
      <c r="AB32" s="299"/>
      <c r="AC32" s="299"/>
      <c r="AD32" s="299"/>
      <c r="AE32" s="299"/>
      <c r="AF32" s="284">
        <f t="shared" si="17"/>
        <v>0</v>
      </c>
      <c r="AG32" s="299"/>
      <c r="AH32" s="299"/>
      <c r="AI32" s="299"/>
      <c r="AJ32" s="299"/>
      <c r="AK32" s="299"/>
      <c r="AL32" s="299"/>
      <c r="AM32" s="299"/>
      <c r="AN32" s="284">
        <f t="shared" si="18"/>
        <v>0</v>
      </c>
      <c r="AO32" s="299"/>
      <c r="AP32" s="299"/>
      <c r="AQ32" s="299"/>
      <c r="AR32" s="299"/>
      <c r="AS32" s="299"/>
      <c r="AT32" s="299"/>
      <c r="AU32" s="299"/>
      <c r="AV32" s="284">
        <f t="shared" si="19"/>
        <v>0</v>
      </c>
      <c r="AW32" s="299"/>
      <c r="AX32" s="299"/>
      <c r="AY32" s="299"/>
      <c r="AZ32" s="299"/>
      <c r="BA32" s="299"/>
      <c r="BB32" s="299"/>
      <c r="BC32" s="299"/>
      <c r="BD32" s="284">
        <f t="shared" si="20"/>
        <v>0</v>
      </c>
      <c r="BE32" s="299"/>
      <c r="BF32" s="299"/>
      <c r="BG32" s="299"/>
      <c r="BH32" s="299"/>
      <c r="BI32" s="299"/>
      <c r="BJ32" s="299"/>
      <c r="BK32" s="299"/>
      <c r="BL32" s="284">
        <f t="shared" si="21"/>
        <v>0</v>
      </c>
      <c r="BM32" s="299"/>
      <c r="BN32" s="299"/>
      <c r="BO32" s="299"/>
      <c r="BP32" s="299"/>
      <c r="BQ32" s="299"/>
      <c r="BR32" s="299"/>
      <c r="BS32" s="299"/>
      <c r="BT32" s="284">
        <f t="shared" si="22"/>
        <v>0</v>
      </c>
      <c r="BU32" s="299"/>
      <c r="BV32" s="299"/>
      <c r="BW32" s="299"/>
      <c r="BX32" s="299"/>
      <c r="BY32" s="299"/>
      <c r="BZ32" s="299"/>
      <c r="CA32" s="299"/>
      <c r="CB32" s="284">
        <f t="shared" si="23"/>
        <v>0</v>
      </c>
      <c r="CC32" s="299"/>
      <c r="CD32" s="299"/>
      <c r="CE32" s="299"/>
      <c r="CF32" s="299"/>
      <c r="CG32" s="299"/>
      <c r="CH32" s="299"/>
      <c r="CI32" s="299"/>
      <c r="CJ32" s="284">
        <f t="shared" si="24"/>
        <v>0</v>
      </c>
    </row>
    <row r="33" spans="1:88" s="296" customFormat="1" x14ac:dyDescent="0.25">
      <c r="A33" s="296">
        <v>7</v>
      </c>
      <c r="B33" s="297" t="s">
        <v>146</v>
      </c>
      <c r="C33" s="278">
        <f t="shared" si="14"/>
        <v>10.666666666666666</v>
      </c>
      <c r="D33" s="278">
        <f t="shared" si="15"/>
        <v>0.66666666666666663</v>
      </c>
      <c r="E33" s="277">
        <f t="shared" si="13"/>
        <v>40</v>
      </c>
      <c r="F33" s="298"/>
      <c r="G33" s="299"/>
      <c r="H33" s="299">
        <v>40</v>
      </c>
      <c r="I33" s="299"/>
      <c r="J33" s="299"/>
      <c r="K33" s="299"/>
      <c r="L33" s="299"/>
      <c r="M33" s="299"/>
      <c r="N33" s="284">
        <f t="shared" si="2"/>
        <v>40</v>
      </c>
      <c r="O33" s="292"/>
      <c r="P33" s="292"/>
      <c r="Q33" s="299"/>
      <c r="R33" s="299"/>
      <c r="S33" s="299"/>
      <c r="T33" s="299"/>
      <c r="U33" s="299"/>
      <c r="V33" s="299"/>
      <c r="W33" s="299"/>
      <c r="X33" s="284">
        <f t="shared" si="16"/>
        <v>0</v>
      </c>
      <c r="Y33" s="299"/>
      <c r="Z33" s="299"/>
      <c r="AA33" s="299"/>
      <c r="AB33" s="299"/>
      <c r="AC33" s="299"/>
      <c r="AD33" s="299"/>
      <c r="AE33" s="299"/>
      <c r="AF33" s="284">
        <f t="shared" si="17"/>
        <v>0</v>
      </c>
      <c r="AG33" s="299"/>
      <c r="AH33" s="299"/>
      <c r="AI33" s="299"/>
      <c r="AJ33" s="299"/>
      <c r="AK33" s="299"/>
      <c r="AL33" s="299"/>
      <c r="AM33" s="299"/>
      <c r="AN33" s="284">
        <f t="shared" si="18"/>
        <v>0</v>
      </c>
      <c r="AO33" s="299"/>
      <c r="AP33" s="299"/>
      <c r="AQ33" s="299"/>
      <c r="AR33" s="299"/>
      <c r="AS33" s="299"/>
      <c r="AT33" s="299"/>
      <c r="AU33" s="299"/>
      <c r="AV33" s="284">
        <f t="shared" si="19"/>
        <v>0</v>
      </c>
      <c r="AW33" s="299"/>
      <c r="AX33" s="299"/>
      <c r="AY33" s="299"/>
      <c r="AZ33" s="299"/>
      <c r="BA33" s="299"/>
      <c r="BB33" s="299"/>
      <c r="BC33" s="299"/>
      <c r="BD33" s="284">
        <f t="shared" si="20"/>
        <v>0</v>
      </c>
      <c r="BE33" s="299"/>
      <c r="BF33" s="299"/>
      <c r="BG33" s="299"/>
      <c r="BH33" s="299"/>
      <c r="BI33" s="299"/>
      <c r="BJ33" s="299"/>
      <c r="BK33" s="299"/>
      <c r="BL33" s="284">
        <f t="shared" si="21"/>
        <v>0</v>
      </c>
      <c r="BM33" s="299"/>
      <c r="BN33" s="299"/>
      <c r="BO33" s="299"/>
      <c r="BP33" s="299"/>
      <c r="BQ33" s="299"/>
      <c r="BR33" s="299"/>
      <c r="BS33" s="299"/>
      <c r="BT33" s="284">
        <f t="shared" si="22"/>
        <v>0</v>
      </c>
      <c r="BU33" s="299"/>
      <c r="BV33" s="299"/>
      <c r="BW33" s="299"/>
      <c r="BX33" s="299"/>
      <c r="BY33" s="299"/>
      <c r="BZ33" s="299"/>
      <c r="CA33" s="299"/>
      <c r="CB33" s="284">
        <f t="shared" si="23"/>
        <v>0</v>
      </c>
      <c r="CC33" s="299"/>
      <c r="CD33" s="299"/>
      <c r="CE33" s="299"/>
      <c r="CF33" s="299"/>
      <c r="CG33" s="299"/>
      <c r="CH33" s="299"/>
      <c r="CI33" s="299"/>
      <c r="CJ33" s="284">
        <f t="shared" si="24"/>
        <v>0</v>
      </c>
    </row>
    <row r="34" spans="1:88" x14ac:dyDescent="0.25">
      <c r="A34" s="296">
        <v>7</v>
      </c>
      <c r="B34" s="242" t="s">
        <v>147</v>
      </c>
      <c r="C34" s="278">
        <f t="shared" si="14"/>
        <v>14.666666666666666</v>
      </c>
      <c r="D34" s="278">
        <f t="shared" si="15"/>
        <v>0.91666666666666663</v>
      </c>
      <c r="E34" s="277">
        <f t="shared" si="13"/>
        <v>55</v>
      </c>
      <c r="F34" s="231"/>
      <c r="G34" s="299">
        <v>15</v>
      </c>
      <c r="H34" s="299">
        <v>5</v>
      </c>
      <c r="I34" s="299">
        <v>15</v>
      </c>
      <c r="J34" s="299">
        <v>0</v>
      </c>
      <c r="K34" s="299">
        <v>15</v>
      </c>
      <c r="L34" s="299">
        <v>5</v>
      </c>
      <c r="M34" s="299">
        <v>0</v>
      </c>
      <c r="N34" s="284">
        <f t="shared" si="2"/>
        <v>55</v>
      </c>
      <c r="O34" s="292"/>
      <c r="P34" s="292"/>
      <c r="Q34" s="299"/>
      <c r="R34" s="299"/>
      <c r="S34" s="299"/>
      <c r="T34" s="299"/>
      <c r="U34" s="299"/>
      <c r="V34" s="299"/>
      <c r="W34" s="299"/>
      <c r="X34" s="284">
        <f t="shared" si="16"/>
        <v>0</v>
      </c>
      <c r="Y34" s="299"/>
      <c r="Z34" s="299"/>
      <c r="AA34" s="299"/>
      <c r="AB34" s="299"/>
      <c r="AC34" s="299"/>
      <c r="AD34" s="299"/>
      <c r="AE34" s="299"/>
      <c r="AF34" s="284">
        <f t="shared" si="17"/>
        <v>0</v>
      </c>
      <c r="AG34" s="299"/>
      <c r="AH34" s="299"/>
      <c r="AI34" s="299"/>
      <c r="AJ34" s="299"/>
      <c r="AK34" s="299"/>
      <c r="AL34" s="299"/>
      <c r="AM34" s="299"/>
      <c r="AN34" s="284">
        <f t="shared" si="18"/>
        <v>0</v>
      </c>
      <c r="AO34" s="299"/>
      <c r="AP34" s="299"/>
      <c r="AQ34" s="299"/>
      <c r="AR34" s="299"/>
      <c r="AS34" s="299"/>
      <c r="AT34" s="299"/>
      <c r="AU34" s="299"/>
      <c r="AV34" s="284">
        <f t="shared" si="19"/>
        <v>0</v>
      </c>
      <c r="AW34" s="299"/>
      <c r="AX34" s="299"/>
      <c r="AY34" s="299"/>
      <c r="AZ34" s="299"/>
      <c r="BA34" s="299"/>
      <c r="BB34" s="299"/>
      <c r="BC34" s="299"/>
      <c r="BD34" s="284">
        <f t="shared" si="20"/>
        <v>0</v>
      </c>
      <c r="BE34" s="299"/>
      <c r="BF34" s="299"/>
      <c r="BG34" s="299"/>
      <c r="BH34" s="299"/>
      <c r="BI34" s="299"/>
      <c r="BJ34" s="299"/>
      <c r="BK34" s="299"/>
      <c r="BL34" s="284">
        <f t="shared" si="21"/>
        <v>0</v>
      </c>
      <c r="BM34" s="299"/>
      <c r="BN34" s="299"/>
      <c r="BO34" s="299"/>
      <c r="BP34" s="299"/>
      <c r="BQ34" s="299"/>
      <c r="BR34" s="299"/>
      <c r="BS34" s="299"/>
      <c r="BT34" s="284">
        <f t="shared" si="22"/>
        <v>0</v>
      </c>
      <c r="BU34" s="299"/>
      <c r="BV34" s="299"/>
      <c r="BW34" s="299"/>
      <c r="BX34" s="299"/>
      <c r="BY34" s="299"/>
      <c r="BZ34" s="299"/>
      <c r="CA34" s="299"/>
      <c r="CB34" s="284">
        <f t="shared" si="23"/>
        <v>0</v>
      </c>
      <c r="CC34" s="299"/>
      <c r="CD34" s="299"/>
      <c r="CE34" s="299"/>
      <c r="CF34" s="299"/>
      <c r="CG34" s="299"/>
      <c r="CH34" s="299"/>
      <c r="CI34" s="299"/>
      <c r="CJ34" s="284">
        <f t="shared" si="24"/>
        <v>0</v>
      </c>
    </row>
    <row r="35" spans="1:88" s="296" customFormat="1" x14ac:dyDescent="0.25">
      <c r="A35" s="296">
        <v>7</v>
      </c>
      <c r="B35" s="297" t="s">
        <v>154</v>
      </c>
      <c r="C35" s="278">
        <f t="shared" si="14"/>
        <v>8</v>
      </c>
      <c r="D35" s="278">
        <f t="shared" si="15"/>
        <v>0.5</v>
      </c>
      <c r="E35" s="277">
        <f t="shared" si="13"/>
        <v>30</v>
      </c>
      <c r="F35" s="298"/>
      <c r="G35" s="299">
        <v>15</v>
      </c>
      <c r="H35" s="299">
        <v>10</v>
      </c>
      <c r="I35" s="299">
        <v>0</v>
      </c>
      <c r="J35" s="299">
        <v>0</v>
      </c>
      <c r="K35" s="299">
        <v>0</v>
      </c>
      <c r="L35" s="299">
        <v>5</v>
      </c>
      <c r="M35" s="299">
        <v>0</v>
      </c>
      <c r="N35" s="284">
        <f t="shared" si="2"/>
        <v>30</v>
      </c>
      <c r="O35" s="292">
        <f>SUM(N31:N36)+40</f>
        <v>725</v>
      </c>
      <c r="P35" s="292"/>
      <c r="Q35" s="299"/>
      <c r="R35" s="299"/>
      <c r="S35" s="299"/>
      <c r="T35" s="299"/>
      <c r="U35" s="299"/>
      <c r="V35" s="299"/>
      <c r="W35" s="299"/>
      <c r="X35" s="284">
        <f t="shared" si="16"/>
        <v>0</v>
      </c>
      <c r="Y35" s="299"/>
      <c r="Z35" s="299"/>
      <c r="AA35" s="299"/>
      <c r="AB35" s="299"/>
      <c r="AC35" s="299"/>
      <c r="AD35" s="299"/>
      <c r="AE35" s="299"/>
      <c r="AF35" s="284">
        <f t="shared" si="17"/>
        <v>0</v>
      </c>
      <c r="AG35" s="299"/>
      <c r="AH35" s="299"/>
      <c r="AI35" s="299"/>
      <c r="AJ35" s="299"/>
      <c r="AK35" s="299"/>
      <c r="AL35" s="299"/>
      <c r="AM35" s="299"/>
      <c r="AN35" s="284">
        <f t="shared" si="18"/>
        <v>0</v>
      </c>
      <c r="AO35" s="299"/>
      <c r="AP35" s="299"/>
      <c r="AQ35" s="299"/>
      <c r="AR35" s="299"/>
      <c r="AS35" s="299"/>
      <c r="AT35" s="299"/>
      <c r="AU35" s="299"/>
      <c r="AV35" s="284">
        <f t="shared" si="19"/>
        <v>0</v>
      </c>
      <c r="AW35" s="299"/>
      <c r="AX35" s="299"/>
      <c r="AY35" s="299"/>
      <c r="AZ35" s="299"/>
      <c r="BA35" s="299"/>
      <c r="BB35" s="299"/>
      <c r="BC35" s="299"/>
      <c r="BD35" s="284">
        <f t="shared" si="20"/>
        <v>0</v>
      </c>
      <c r="BE35" s="299"/>
      <c r="BF35" s="299"/>
      <c r="BG35" s="299"/>
      <c r="BH35" s="299"/>
      <c r="BI35" s="299"/>
      <c r="BJ35" s="299"/>
      <c r="BK35" s="299"/>
      <c r="BL35" s="284">
        <f t="shared" si="21"/>
        <v>0</v>
      </c>
      <c r="BM35" s="299"/>
      <c r="BN35" s="299"/>
      <c r="BO35" s="299"/>
      <c r="BP35" s="299"/>
      <c r="BQ35" s="299"/>
      <c r="BR35" s="299"/>
      <c r="BS35" s="299"/>
      <c r="BT35" s="284">
        <f t="shared" si="22"/>
        <v>0</v>
      </c>
      <c r="BU35" s="299"/>
      <c r="BV35" s="299"/>
      <c r="BW35" s="299"/>
      <c r="BX35" s="299"/>
      <c r="BY35" s="299"/>
      <c r="BZ35" s="299"/>
      <c r="CA35" s="299"/>
      <c r="CB35" s="284">
        <f t="shared" si="23"/>
        <v>0</v>
      </c>
      <c r="CC35" s="299"/>
      <c r="CD35" s="299"/>
      <c r="CE35" s="299"/>
      <c r="CF35" s="299"/>
      <c r="CG35" s="299"/>
      <c r="CH35" s="299"/>
      <c r="CI35" s="299"/>
      <c r="CJ35" s="284">
        <f t="shared" si="24"/>
        <v>0</v>
      </c>
    </row>
    <row r="36" spans="1:88" s="296" customFormat="1" x14ac:dyDescent="0.25">
      <c r="A36" s="296">
        <v>7</v>
      </c>
      <c r="B36" s="297" t="s">
        <v>150</v>
      </c>
      <c r="C36" s="278">
        <f t="shared" si="14"/>
        <v>0</v>
      </c>
      <c r="D36" s="278">
        <f t="shared" si="15"/>
        <v>0</v>
      </c>
      <c r="E36" s="277">
        <f t="shared" si="13"/>
        <v>0</v>
      </c>
      <c r="F36" s="298"/>
      <c r="G36" s="299"/>
      <c r="H36" s="299"/>
      <c r="I36" s="299"/>
      <c r="J36" s="299"/>
      <c r="K36" s="299"/>
      <c r="L36" s="299"/>
      <c r="M36" s="299"/>
      <c r="N36" s="284">
        <f t="shared" si="2"/>
        <v>0</v>
      </c>
      <c r="O36" s="292"/>
      <c r="P36" s="292"/>
      <c r="Q36" s="299"/>
      <c r="R36" s="299"/>
      <c r="S36" s="299"/>
      <c r="T36" s="299"/>
      <c r="U36" s="299"/>
      <c r="V36" s="299"/>
      <c r="W36" s="299"/>
      <c r="X36" s="284">
        <f t="shared" si="16"/>
        <v>0</v>
      </c>
      <c r="Y36" s="299"/>
      <c r="Z36" s="299"/>
      <c r="AA36" s="299"/>
      <c r="AB36" s="299"/>
      <c r="AC36" s="299"/>
      <c r="AD36" s="299"/>
      <c r="AE36" s="299"/>
      <c r="AF36" s="284">
        <f t="shared" si="17"/>
        <v>0</v>
      </c>
      <c r="AG36" s="299"/>
      <c r="AH36" s="299"/>
      <c r="AI36" s="299"/>
      <c r="AJ36" s="299"/>
      <c r="AK36" s="299"/>
      <c r="AL36" s="299"/>
      <c r="AM36" s="299"/>
      <c r="AN36" s="284">
        <f t="shared" si="18"/>
        <v>0</v>
      </c>
      <c r="AO36" s="299"/>
      <c r="AP36" s="299"/>
      <c r="AQ36" s="299"/>
      <c r="AR36" s="299"/>
      <c r="AS36" s="299"/>
      <c r="AT36" s="299"/>
      <c r="AU36" s="299"/>
      <c r="AV36" s="284">
        <f t="shared" si="19"/>
        <v>0</v>
      </c>
      <c r="AW36" s="299"/>
      <c r="AX36" s="299"/>
      <c r="AY36" s="299"/>
      <c r="AZ36" s="299"/>
      <c r="BA36" s="299"/>
      <c r="BB36" s="299"/>
      <c r="BC36" s="299"/>
      <c r="BD36" s="284">
        <f t="shared" si="20"/>
        <v>0</v>
      </c>
      <c r="BE36" s="299"/>
      <c r="BF36" s="299"/>
      <c r="BG36" s="299"/>
      <c r="BH36" s="299"/>
      <c r="BI36" s="299"/>
      <c r="BJ36" s="299"/>
      <c r="BK36" s="299"/>
      <c r="BL36" s="284">
        <f t="shared" si="21"/>
        <v>0</v>
      </c>
      <c r="BM36" s="299"/>
      <c r="BN36" s="299"/>
      <c r="BO36" s="299"/>
      <c r="BP36" s="299"/>
      <c r="BQ36" s="299"/>
      <c r="BR36" s="299"/>
      <c r="BS36" s="299"/>
      <c r="BT36" s="284">
        <f t="shared" si="22"/>
        <v>0</v>
      </c>
      <c r="BU36" s="299"/>
      <c r="BV36" s="299"/>
      <c r="BW36" s="299"/>
      <c r="BX36" s="299"/>
      <c r="BY36" s="299"/>
      <c r="BZ36" s="299"/>
      <c r="CA36" s="299"/>
      <c r="CB36" s="284">
        <f t="shared" si="23"/>
        <v>0</v>
      </c>
      <c r="CC36" s="299"/>
      <c r="CD36" s="299"/>
      <c r="CE36" s="299"/>
      <c r="CF36" s="299"/>
      <c r="CG36" s="299"/>
      <c r="CH36" s="299"/>
      <c r="CI36" s="299"/>
      <c r="CJ36" s="284">
        <f t="shared" si="24"/>
        <v>0</v>
      </c>
    </row>
    <row r="37" spans="1:88" x14ac:dyDescent="0.25">
      <c r="B37" s="235"/>
      <c r="C37" s="235"/>
      <c r="D37" s="235"/>
      <c r="E37" s="235"/>
      <c r="F37" s="235"/>
      <c r="G37" s="235"/>
      <c r="H37" s="235"/>
      <c r="I37" s="235"/>
      <c r="J37" s="235"/>
      <c r="K37" s="235"/>
      <c r="L37" s="235"/>
      <c r="M37" s="235"/>
      <c r="N37" s="293"/>
      <c r="O37" s="233"/>
      <c r="P37" s="233"/>
      <c r="Q37" s="235"/>
      <c r="R37" s="235"/>
      <c r="S37" s="235"/>
      <c r="T37" s="235"/>
      <c r="U37" s="235"/>
      <c r="V37" s="235"/>
      <c r="W37" s="235"/>
      <c r="X37" s="293"/>
      <c r="Y37" s="235"/>
      <c r="Z37" s="235"/>
      <c r="AA37" s="235"/>
      <c r="AB37" s="235"/>
      <c r="AC37" s="235"/>
      <c r="AD37" s="235"/>
      <c r="AE37" s="235"/>
      <c r="AF37" s="293"/>
      <c r="AG37" s="235"/>
      <c r="AH37" s="235"/>
      <c r="AI37" s="235"/>
      <c r="AJ37" s="235"/>
      <c r="AK37" s="235"/>
      <c r="AL37" s="235"/>
      <c r="AM37" s="235"/>
      <c r="AN37" s="293"/>
      <c r="AO37" s="235"/>
      <c r="AP37" s="235"/>
      <c r="AQ37" s="235"/>
      <c r="AR37" s="235"/>
      <c r="AS37" s="235"/>
      <c r="AT37" s="235"/>
      <c r="AU37" s="235"/>
      <c r="AV37" s="293"/>
      <c r="AW37" s="235"/>
      <c r="AX37" s="235"/>
      <c r="AY37" s="235"/>
      <c r="AZ37" s="235"/>
      <c r="BA37" s="235"/>
      <c r="BB37" s="235"/>
      <c r="BC37" s="235"/>
      <c r="BD37" s="293"/>
      <c r="BE37" s="235"/>
      <c r="BF37" s="235"/>
      <c r="BG37" s="235"/>
      <c r="BH37" s="235"/>
      <c r="BI37" s="235"/>
      <c r="BJ37" s="235"/>
      <c r="BK37" s="235"/>
      <c r="BL37" s="293"/>
      <c r="BM37" s="235"/>
      <c r="BN37" s="235"/>
      <c r="BO37" s="235"/>
      <c r="BP37" s="235"/>
      <c r="BQ37" s="235"/>
      <c r="BR37" s="235"/>
      <c r="BS37" s="235"/>
      <c r="BT37" s="293"/>
      <c r="BU37" s="235"/>
      <c r="BV37" s="235"/>
      <c r="BW37" s="235"/>
      <c r="BX37" s="235"/>
      <c r="BY37" s="235"/>
      <c r="BZ37" s="235"/>
      <c r="CA37" s="235"/>
      <c r="CB37" s="293"/>
      <c r="CC37" s="235"/>
      <c r="CD37" s="235"/>
      <c r="CE37" s="235"/>
      <c r="CF37" s="235"/>
      <c r="CG37" s="235"/>
      <c r="CH37" s="235"/>
      <c r="CI37" s="235"/>
      <c r="CJ37" s="293"/>
    </row>
    <row r="38" spans="1:88" x14ac:dyDescent="0.25">
      <c r="B38" s="237" t="s">
        <v>155</v>
      </c>
      <c r="C38" s="235"/>
      <c r="D38" s="235"/>
      <c r="E38" s="235"/>
      <c r="F38" s="235"/>
      <c r="G38" s="235"/>
      <c r="H38" s="235"/>
      <c r="I38" s="235"/>
      <c r="J38" s="235"/>
      <c r="K38" s="235"/>
      <c r="L38" s="235"/>
      <c r="M38" s="235"/>
      <c r="N38" s="302"/>
      <c r="O38" s="233"/>
      <c r="P38" s="233"/>
      <c r="Q38" s="235"/>
      <c r="R38" s="235"/>
      <c r="S38" s="235"/>
      <c r="T38" s="235"/>
      <c r="U38" s="235"/>
      <c r="V38" s="235"/>
      <c r="W38" s="235"/>
      <c r="X38" s="302"/>
      <c r="Y38" s="235"/>
      <c r="Z38" s="235"/>
      <c r="AA38" s="235"/>
      <c r="AB38" s="235"/>
      <c r="AC38" s="235"/>
      <c r="AD38" s="235"/>
      <c r="AE38" s="235"/>
      <c r="AF38" s="302"/>
      <c r="AG38" s="235"/>
      <c r="AH38" s="235"/>
      <c r="AI38" s="235"/>
      <c r="AJ38" s="235"/>
      <c r="AK38" s="235"/>
      <c r="AL38" s="235"/>
      <c r="AM38" s="235"/>
      <c r="AN38" s="302"/>
      <c r="AO38" s="235"/>
      <c r="AP38" s="235"/>
      <c r="AQ38" s="235"/>
      <c r="AR38" s="235"/>
      <c r="AS38" s="235"/>
      <c r="AT38" s="235"/>
      <c r="AU38" s="235"/>
      <c r="AV38" s="302"/>
      <c r="AW38" s="235"/>
      <c r="AX38" s="235"/>
      <c r="AY38" s="235"/>
      <c r="AZ38" s="235"/>
      <c r="BA38" s="235"/>
      <c r="BB38" s="235"/>
      <c r="BC38" s="235"/>
      <c r="BD38" s="302"/>
      <c r="BE38" s="235"/>
      <c r="BF38" s="235"/>
      <c r="BG38" s="235"/>
      <c r="BH38" s="235"/>
      <c r="BI38" s="235"/>
      <c r="BJ38" s="235"/>
      <c r="BK38" s="235"/>
      <c r="BL38" s="302"/>
      <c r="BM38" s="235"/>
      <c r="BN38" s="235"/>
      <c r="BO38" s="235"/>
      <c r="BP38" s="235"/>
      <c r="BQ38" s="235"/>
      <c r="BR38" s="235"/>
      <c r="BS38" s="235"/>
      <c r="BT38" s="302"/>
      <c r="BU38" s="235"/>
      <c r="BV38" s="235"/>
      <c r="BW38" s="235"/>
      <c r="BX38" s="235"/>
      <c r="BY38" s="235"/>
      <c r="BZ38" s="235"/>
      <c r="CA38" s="235"/>
      <c r="CB38" s="302"/>
      <c r="CC38" s="235"/>
      <c r="CD38" s="235"/>
      <c r="CE38" s="235"/>
      <c r="CF38" s="235"/>
      <c r="CG38" s="235"/>
      <c r="CH38" s="235"/>
      <c r="CI38" s="235"/>
      <c r="CJ38" s="302"/>
    </row>
    <row r="39" spans="1:88" s="296" customFormat="1" x14ac:dyDescent="0.25">
      <c r="A39" s="296">
        <v>8</v>
      </c>
      <c r="B39" s="297" t="s">
        <v>156</v>
      </c>
      <c r="C39" s="278">
        <f t="shared" ref="C39:C44" si="25">E39*52/$C$7</f>
        <v>0</v>
      </c>
      <c r="D39" s="278">
        <f t="shared" ref="D39:D44" si="26">E39/60</f>
        <v>0</v>
      </c>
      <c r="E39" s="277">
        <f t="shared" si="13"/>
        <v>0</v>
      </c>
      <c r="F39" s="298"/>
      <c r="G39" s="299"/>
      <c r="H39" s="299"/>
      <c r="I39" s="299"/>
      <c r="J39" s="299"/>
      <c r="K39" s="299"/>
      <c r="L39" s="299"/>
      <c r="M39" s="299"/>
      <c r="N39" s="300">
        <f t="shared" si="2"/>
        <v>0</v>
      </c>
      <c r="O39" s="301"/>
      <c r="P39" s="301"/>
      <c r="Q39" s="299"/>
      <c r="R39" s="299"/>
      <c r="S39" s="299"/>
      <c r="T39" s="299"/>
      <c r="U39" s="299"/>
      <c r="V39" s="299"/>
      <c r="W39" s="299"/>
      <c r="X39" s="300">
        <f t="shared" ref="X39:X44" si="27">SUM(Q39:W39)</f>
        <v>0</v>
      </c>
      <c r="Y39" s="299"/>
      <c r="Z39" s="299"/>
      <c r="AA39" s="299"/>
      <c r="AB39" s="299"/>
      <c r="AC39" s="299"/>
      <c r="AD39" s="299"/>
      <c r="AE39" s="299"/>
      <c r="AF39" s="300">
        <f t="shared" ref="AF39:AF44" si="28">SUM(Y39:AE39)</f>
        <v>0</v>
      </c>
      <c r="AG39" s="299"/>
      <c r="AH39" s="299"/>
      <c r="AI39" s="299"/>
      <c r="AJ39" s="299"/>
      <c r="AK39" s="299"/>
      <c r="AL39" s="299"/>
      <c r="AM39" s="299"/>
      <c r="AN39" s="300">
        <f t="shared" ref="AN39:AN44" si="29">SUM(AG39:AM39)</f>
        <v>0</v>
      </c>
      <c r="AO39" s="299"/>
      <c r="AP39" s="299"/>
      <c r="AQ39" s="299"/>
      <c r="AR39" s="299"/>
      <c r="AS39" s="299"/>
      <c r="AT39" s="299"/>
      <c r="AU39" s="299"/>
      <c r="AV39" s="300">
        <f t="shared" ref="AV39:AV44" si="30">SUM(AO39:AU39)</f>
        <v>0</v>
      </c>
      <c r="AW39" s="299"/>
      <c r="AX39" s="299"/>
      <c r="AY39" s="299"/>
      <c r="AZ39" s="299"/>
      <c r="BA39" s="299"/>
      <c r="BB39" s="299"/>
      <c r="BC39" s="299"/>
      <c r="BD39" s="300">
        <f t="shared" ref="BD39:BD44" si="31">SUM(AW39:BC39)</f>
        <v>0</v>
      </c>
      <c r="BE39" s="299"/>
      <c r="BF39" s="299"/>
      <c r="BG39" s="299"/>
      <c r="BH39" s="299"/>
      <c r="BI39" s="299"/>
      <c r="BJ39" s="299"/>
      <c r="BK39" s="299"/>
      <c r="BL39" s="300">
        <f t="shared" ref="BL39:BL44" si="32">SUM(BE39:BK39)</f>
        <v>0</v>
      </c>
      <c r="BM39" s="299"/>
      <c r="BN39" s="299"/>
      <c r="BO39" s="299"/>
      <c r="BP39" s="299"/>
      <c r="BQ39" s="299"/>
      <c r="BR39" s="299"/>
      <c r="BS39" s="299"/>
      <c r="BT39" s="300">
        <f t="shared" ref="BT39:BT44" si="33">SUM(BM39:BS39)</f>
        <v>0</v>
      </c>
      <c r="BU39" s="299"/>
      <c r="BV39" s="299"/>
      <c r="BW39" s="299"/>
      <c r="BX39" s="299"/>
      <c r="BY39" s="299"/>
      <c r="BZ39" s="299"/>
      <c r="CA39" s="299"/>
      <c r="CB39" s="300">
        <f t="shared" ref="CB39:CB44" si="34">SUM(BU39:CA39)</f>
        <v>0</v>
      </c>
      <c r="CC39" s="299"/>
      <c r="CD39" s="299"/>
      <c r="CE39" s="299"/>
      <c r="CF39" s="299"/>
      <c r="CG39" s="299"/>
      <c r="CH39" s="299"/>
      <c r="CI39" s="299"/>
      <c r="CJ39" s="300">
        <f t="shared" ref="CJ39:CJ44" si="35">SUM(CC39:CI39)</f>
        <v>0</v>
      </c>
    </row>
    <row r="40" spans="1:88" x14ac:dyDescent="0.25">
      <c r="A40" s="303">
        <v>8</v>
      </c>
      <c r="B40" s="304" t="s">
        <v>146</v>
      </c>
      <c r="C40" s="278">
        <f t="shared" si="25"/>
        <v>0</v>
      </c>
      <c r="D40" s="278">
        <f t="shared" si="26"/>
        <v>0</v>
      </c>
      <c r="E40" s="277">
        <f t="shared" si="13"/>
        <v>0</v>
      </c>
      <c r="F40" s="230"/>
      <c r="G40" s="299"/>
      <c r="H40" s="299"/>
      <c r="I40" s="299"/>
      <c r="J40" s="299"/>
      <c r="K40" s="299"/>
      <c r="L40" s="299"/>
      <c r="M40" s="299"/>
      <c r="N40" s="284">
        <f t="shared" si="2"/>
        <v>0</v>
      </c>
      <c r="O40" s="292"/>
      <c r="P40" s="292"/>
      <c r="Q40" s="299"/>
      <c r="R40" s="299"/>
      <c r="S40" s="299"/>
      <c r="T40" s="299"/>
      <c r="U40" s="299"/>
      <c r="V40" s="299"/>
      <c r="W40" s="299"/>
      <c r="X40" s="284">
        <f t="shared" si="27"/>
        <v>0</v>
      </c>
      <c r="Y40" s="299"/>
      <c r="Z40" s="299"/>
      <c r="AA40" s="299"/>
      <c r="AB40" s="299"/>
      <c r="AC40" s="299"/>
      <c r="AD40" s="299"/>
      <c r="AE40" s="299"/>
      <c r="AF40" s="284">
        <f t="shared" si="28"/>
        <v>0</v>
      </c>
      <c r="AG40" s="299"/>
      <c r="AH40" s="299"/>
      <c r="AI40" s="299"/>
      <c r="AJ40" s="299"/>
      <c r="AK40" s="299"/>
      <c r="AL40" s="299"/>
      <c r="AM40" s="299"/>
      <c r="AN40" s="284">
        <f t="shared" si="29"/>
        <v>0</v>
      </c>
      <c r="AO40" s="299"/>
      <c r="AP40" s="299"/>
      <c r="AQ40" s="299"/>
      <c r="AR40" s="299"/>
      <c r="AS40" s="299"/>
      <c r="AT40" s="299"/>
      <c r="AU40" s="299"/>
      <c r="AV40" s="284">
        <f t="shared" si="30"/>
        <v>0</v>
      </c>
      <c r="AW40" s="299"/>
      <c r="AX40" s="299"/>
      <c r="AY40" s="299"/>
      <c r="AZ40" s="299"/>
      <c r="BA40" s="299"/>
      <c r="BB40" s="299"/>
      <c r="BC40" s="299"/>
      <c r="BD40" s="284">
        <f t="shared" si="31"/>
        <v>0</v>
      </c>
      <c r="BE40" s="299"/>
      <c r="BF40" s="299"/>
      <c r="BG40" s="299"/>
      <c r="BH40" s="299"/>
      <c r="BI40" s="299"/>
      <c r="BJ40" s="299"/>
      <c r="BK40" s="299"/>
      <c r="BL40" s="284">
        <f t="shared" si="32"/>
        <v>0</v>
      </c>
      <c r="BM40" s="299"/>
      <c r="BN40" s="299"/>
      <c r="BO40" s="299"/>
      <c r="BP40" s="299"/>
      <c r="BQ40" s="299"/>
      <c r="BR40" s="299"/>
      <c r="BS40" s="299"/>
      <c r="BT40" s="284">
        <f t="shared" si="33"/>
        <v>0</v>
      </c>
      <c r="BU40" s="299"/>
      <c r="BV40" s="299"/>
      <c r="BW40" s="299"/>
      <c r="BX40" s="299"/>
      <c r="BY40" s="299"/>
      <c r="BZ40" s="299"/>
      <c r="CA40" s="299"/>
      <c r="CB40" s="284">
        <f t="shared" si="34"/>
        <v>0</v>
      </c>
      <c r="CC40" s="299"/>
      <c r="CD40" s="299"/>
      <c r="CE40" s="299"/>
      <c r="CF40" s="299"/>
      <c r="CG40" s="299"/>
      <c r="CH40" s="299"/>
      <c r="CI40" s="299"/>
      <c r="CJ40" s="284">
        <f t="shared" si="35"/>
        <v>0</v>
      </c>
    </row>
    <row r="41" spans="1:88" s="296" customFormat="1" x14ac:dyDescent="0.25">
      <c r="A41" s="296">
        <v>8</v>
      </c>
      <c r="B41" s="297" t="s">
        <v>147</v>
      </c>
      <c r="C41" s="278">
        <f t="shared" si="25"/>
        <v>0</v>
      </c>
      <c r="D41" s="278">
        <f t="shared" si="26"/>
        <v>0</v>
      </c>
      <c r="E41" s="277">
        <f t="shared" si="13"/>
        <v>0</v>
      </c>
      <c r="F41" s="298"/>
      <c r="G41" s="299"/>
      <c r="H41" s="299"/>
      <c r="I41" s="299"/>
      <c r="J41" s="299"/>
      <c r="K41" s="299"/>
      <c r="L41" s="299"/>
      <c r="M41" s="299"/>
      <c r="N41" s="284">
        <f t="shared" si="2"/>
        <v>0</v>
      </c>
      <c r="O41" s="292"/>
      <c r="P41" s="292"/>
      <c r="Q41" s="299"/>
      <c r="R41" s="299"/>
      <c r="S41" s="299"/>
      <c r="T41" s="299"/>
      <c r="U41" s="299"/>
      <c r="V41" s="299"/>
      <c r="W41" s="299"/>
      <c r="X41" s="284">
        <f t="shared" si="27"/>
        <v>0</v>
      </c>
      <c r="Y41" s="299"/>
      <c r="Z41" s="299"/>
      <c r="AA41" s="299"/>
      <c r="AB41" s="299"/>
      <c r="AC41" s="299"/>
      <c r="AD41" s="299"/>
      <c r="AE41" s="299"/>
      <c r="AF41" s="284">
        <f t="shared" si="28"/>
        <v>0</v>
      </c>
      <c r="AG41" s="299"/>
      <c r="AH41" s="299"/>
      <c r="AI41" s="299"/>
      <c r="AJ41" s="299"/>
      <c r="AK41" s="299"/>
      <c r="AL41" s="299"/>
      <c r="AM41" s="299"/>
      <c r="AN41" s="284">
        <f t="shared" si="29"/>
        <v>0</v>
      </c>
      <c r="AO41" s="299"/>
      <c r="AP41" s="299"/>
      <c r="AQ41" s="299"/>
      <c r="AR41" s="299"/>
      <c r="AS41" s="299"/>
      <c r="AT41" s="299"/>
      <c r="AU41" s="299"/>
      <c r="AV41" s="284">
        <f t="shared" si="30"/>
        <v>0</v>
      </c>
      <c r="AW41" s="299"/>
      <c r="AX41" s="299"/>
      <c r="AY41" s="299"/>
      <c r="AZ41" s="299"/>
      <c r="BA41" s="299"/>
      <c r="BB41" s="299"/>
      <c r="BC41" s="299"/>
      <c r="BD41" s="284">
        <f t="shared" si="31"/>
        <v>0</v>
      </c>
      <c r="BE41" s="299"/>
      <c r="BF41" s="299"/>
      <c r="BG41" s="299"/>
      <c r="BH41" s="299"/>
      <c r="BI41" s="299"/>
      <c r="BJ41" s="299"/>
      <c r="BK41" s="299"/>
      <c r="BL41" s="284">
        <f t="shared" si="32"/>
        <v>0</v>
      </c>
      <c r="BM41" s="299"/>
      <c r="BN41" s="299"/>
      <c r="BO41" s="299"/>
      <c r="BP41" s="299"/>
      <c r="BQ41" s="299"/>
      <c r="BR41" s="299"/>
      <c r="BS41" s="299"/>
      <c r="BT41" s="284">
        <f t="shared" si="33"/>
        <v>0</v>
      </c>
      <c r="BU41" s="299"/>
      <c r="BV41" s="299"/>
      <c r="BW41" s="299"/>
      <c r="BX41" s="299"/>
      <c r="BY41" s="299"/>
      <c r="BZ41" s="299"/>
      <c r="CA41" s="299"/>
      <c r="CB41" s="284">
        <f t="shared" si="34"/>
        <v>0</v>
      </c>
      <c r="CC41" s="299"/>
      <c r="CD41" s="299"/>
      <c r="CE41" s="299"/>
      <c r="CF41" s="299"/>
      <c r="CG41" s="299"/>
      <c r="CH41" s="299"/>
      <c r="CI41" s="299"/>
      <c r="CJ41" s="284">
        <f t="shared" si="35"/>
        <v>0</v>
      </c>
    </row>
    <row r="42" spans="1:88" s="296" customFormat="1" x14ac:dyDescent="0.25">
      <c r="A42" s="296">
        <v>8</v>
      </c>
      <c r="B42" s="297" t="s">
        <v>148</v>
      </c>
      <c r="C42" s="278">
        <f t="shared" si="25"/>
        <v>0</v>
      </c>
      <c r="D42" s="278">
        <f t="shared" si="26"/>
        <v>0</v>
      </c>
      <c r="E42" s="277">
        <f t="shared" si="13"/>
        <v>0</v>
      </c>
      <c r="F42" s="298"/>
      <c r="G42" s="299"/>
      <c r="H42" s="299"/>
      <c r="I42" s="299"/>
      <c r="J42" s="299"/>
      <c r="K42" s="299"/>
      <c r="L42" s="299"/>
      <c r="M42" s="299"/>
      <c r="N42" s="284">
        <f t="shared" si="2"/>
        <v>0</v>
      </c>
      <c r="O42" s="292"/>
      <c r="P42" s="292"/>
      <c r="Q42" s="299"/>
      <c r="R42" s="299"/>
      <c r="S42" s="299"/>
      <c r="T42" s="299"/>
      <c r="U42" s="299"/>
      <c r="V42" s="299"/>
      <c r="W42" s="299"/>
      <c r="X42" s="284">
        <f t="shared" si="27"/>
        <v>0</v>
      </c>
      <c r="Y42" s="299"/>
      <c r="Z42" s="299"/>
      <c r="AA42" s="299"/>
      <c r="AB42" s="299"/>
      <c r="AC42" s="299"/>
      <c r="AD42" s="299"/>
      <c r="AE42" s="299"/>
      <c r="AF42" s="284">
        <f t="shared" si="28"/>
        <v>0</v>
      </c>
      <c r="AG42" s="299"/>
      <c r="AH42" s="299"/>
      <c r="AI42" s="299"/>
      <c r="AJ42" s="299"/>
      <c r="AK42" s="299"/>
      <c r="AL42" s="299"/>
      <c r="AM42" s="299"/>
      <c r="AN42" s="284">
        <f t="shared" si="29"/>
        <v>0</v>
      </c>
      <c r="AO42" s="299"/>
      <c r="AP42" s="299"/>
      <c r="AQ42" s="299"/>
      <c r="AR42" s="299"/>
      <c r="AS42" s="299"/>
      <c r="AT42" s="299"/>
      <c r="AU42" s="299"/>
      <c r="AV42" s="284">
        <f t="shared" si="30"/>
        <v>0</v>
      </c>
      <c r="AW42" s="299"/>
      <c r="AX42" s="299"/>
      <c r="AY42" s="299"/>
      <c r="AZ42" s="299"/>
      <c r="BA42" s="299"/>
      <c r="BB42" s="299"/>
      <c r="BC42" s="299"/>
      <c r="BD42" s="284">
        <f t="shared" si="31"/>
        <v>0</v>
      </c>
      <c r="BE42" s="299"/>
      <c r="BF42" s="299"/>
      <c r="BG42" s="299"/>
      <c r="BH42" s="299"/>
      <c r="BI42" s="299"/>
      <c r="BJ42" s="299"/>
      <c r="BK42" s="299"/>
      <c r="BL42" s="284">
        <f t="shared" si="32"/>
        <v>0</v>
      </c>
      <c r="BM42" s="299"/>
      <c r="BN42" s="299"/>
      <c r="BO42" s="299"/>
      <c r="BP42" s="299"/>
      <c r="BQ42" s="299"/>
      <c r="BR42" s="299"/>
      <c r="BS42" s="299"/>
      <c r="BT42" s="284">
        <f t="shared" si="33"/>
        <v>0</v>
      </c>
      <c r="BU42" s="299"/>
      <c r="BV42" s="299"/>
      <c r="BW42" s="299"/>
      <c r="BX42" s="299"/>
      <c r="BY42" s="299"/>
      <c r="BZ42" s="299"/>
      <c r="CA42" s="299"/>
      <c r="CB42" s="284">
        <f t="shared" si="34"/>
        <v>0</v>
      </c>
      <c r="CC42" s="299"/>
      <c r="CD42" s="299"/>
      <c r="CE42" s="299"/>
      <c r="CF42" s="299"/>
      <c r="CG42" s="299"/>
      <c r="CH42" s="299"/>
      <c r="CI42" s="299"/>
      <c r="CJ42" s="284">
        <f t="shared" si="35"/>
        <v>0</v>
      </c>
    </row>
    <row r="43" spans="1:88" s="296" customFormat="1" x14ac:dyDescent="0.25">
      <c r="A43" s="296">
        <v>8</v>
      </c>
      <c r="B43" s="297" t="s">
        <v>157</v>
      </c>
      <c r="C43" s="278">
        <f t="shared" si="25"/>
        <v>0</v>
      </c>
      <c r="D43" s="278">
        <f t="shared" si="26"/>
        <v>0</v>
      </c>
      <c r="E43" s="277">
        <f t="shared" si="13"/>
        <v>0</v>
      </c>
      <c r="F43" s="298"/>
      <c r="G43" s="299"/>
      <c r="H43" s="299"/>
      <c r="I43" s="299"/>
      <c r="J43" s="299"/>
      <c r="K43" s="299"/>
      <c r="L43" s="299"/>
      <c r="M43" s="299"/>
      <c r="N43" s="284">
        <f t="shared" si="2"/>
        <v>0</v>
      </c>
      <c r="O43" s="292"/>
      <c r="P43" s="292"/>
      <c r="Q43" s="299"/>
      <c r="R43" s="299"/>
      <c r="S43" s="299"/>
      <c r="T43" s="299"/>
      <c r="U43" s="299"/>
      <c r="V43" s="299"/>
      <c r="W43" s="299"/>
      <c r="X43" s="284">
        <f t="shared" si="27"/>
        <v>0</v>
      </c>
      <c r="Y43" s="299"/>
      <c r="Z43" s="299"/>
      <c r="AA43" s="299"/>
      <c r="AB43" s="299"/>
      <c r="AC43" s="299"/>
      <c r="AD43" s="299"/>
      <c r="AE43" s="299"/>
      <c r="AF43" s="284">
        <f t="shared" si="28"/>
        <v>0</v>
      </c>
      <c r="AG43" s="299"/>
      <c r="AH43" s="299"/>
      <c r="AI43" s="299"/>
      <c r="AJ43" s="299"/>
      <c r="AK43" s="299"/>
      <c r="AL43" s="299"/>
      <c r="AM43" s="299"/>
      <c r="AN43" s="284">
        <f t="shared" si="29"/>
        <v>0</v>
      </c>
      <c r="AO43" s="299"/>
      <c r="AP43" s="299"/>
      <c r="AQ43" s="299"/>
      <c r="AR43" s="299"/>
      <c r="AS43" s="299"/>
      <c r="AT43" s="299"/>
      <c r="AU43" s="299"/>
      <c r="AV43" s="284">
        <f t="shared" si="30"/>
        <v>0</v>
      </c>
      <c r="AW43" s="299"/>
      <c r="AX43" s="299"/>
      <c r="AY43" s="299"/>
      <c r="AZ43" s="299"/>
      <c r="BA43" s="299"/>
      <c r="BB43" s="299"/>
      <c r="BC43" s="299"/>
      <c r="BD43" s="284">
        <f t="shared" si="31"/>
        <v>0</v>
      </c>
      <c r="BE43" s="299"/>
      <c r="BF43" s="299"/>
      <c r="BG43" s="299"/>
      <c r="BH43" s="299"/>
      <c r="BI43" s="299"/>
      <c r="BJ43" s="299"/>
      <c r="BK43" s="299"/>
      <c r="BL43" s="284">
        <f t="shared" si="32"/>
        <v>0</v>
      </c>
      <c r="BM43" s="299"/>
      <c r="BN43" s="299"/>
      <c r="BO43" s="299"/>
      <c r="BP43" s="299"/>
      <c r="BQ43" s="299"/>
      <c r="BR43" s="299"/>
      <c r="BS43" s="299"/>
      <c r="BT43" s="284">
        <f t="shared" si="33"/>
        <v>0</v>
      </c>
      <c r="BU43" s="299"/>
      <c r="BV43" s="299"/>
      <c r="BW43" s="299"/>
      <c r="BX43" s="299"/>
      <c r="BY43" s="299"/>
      <c r="BZ43" s="299"/>
      <c r="CA43" s="299"/>
      <c r="CB43" s="284">
        <f t="shared" si="34"/>
        <v>0</v>
      </c>
      <c r="CC43" s="299"/>
      <c r="CD43" s="299"/>
      <c r="CE43" s="299"/>
      <c r="CF43" s="299"/>
      <c r="CG43" s="299"/>
      <c r="CH43" s="299"/>
      <c r="CI43" s="299"/>
      <c r="CJ43" s="284">
        <f t="shared" si="35"/>
        <v>0</v>
      </c>
    </row>
    <row r="44" spans="1:88" s="296" customFormat="1" x14ac:dyDescent="0.25">
      <c r="A44" s="296">
        <v>8</v>
      </c>
      <c r="B44" s="297" t="s">
        <v>150</v>
      </c>
      <c r="C44" s="278">
        <f t="shared" si="25"/>
        <v>0</v>
      </c>
      <c r="D44" s="278">
        <f t="shared" si="26"/>
        <v>0</v>
      </c>
      <c r="E44" s="277">
        <f t="shared" si="13"/>
        <v>0</v>
      </c>
      <c r="F44" s="298"/>
      <c r="G44" s="299"/>
      <c r="H44" s="299"/>
      <c r="I44" s="299"/>
      <c r="J44" s="299"/>
      <c r="K44" s="299"/>
      <c r="L44" s="299"/>
      <c r="M44" s="299"/>
      <c r="N44" s="284">
        <f t="shared" si="2"/>
        <v>0</v>
      </c>
      <c r="O44" s="292"/>
      <c r="P44" s="292"/>
      <c r="Q44" s="299"/>
      <c r="R44" s="299"/>
      <c r="S44" s="299"/>
      <c r="T44" s="299"/>
      <c r="U44" s="299"/>
      <c r="V44" s="299"/>
      <c r="W44" s="299"/>
      <c r="X44" s="284">
        <f t="shared" si="27"/>
        <v>0</v>
      </c>
      <c r="Y44" s="299"/>
      <c r="Z44" s="299"/>
      <c r="AA44" s="299"/>
      <c r="AB44" s="299"/>
      <c r="AC44" s="299"/>
      <c r="AD44" s="299"/>
      <c r="AE44" s="299"/>
      <c r="AF44" s="284">
        <f t="shared" si="28"/>
        <v>0</v>
      </c>
      <c r="AG44" s="299"/>
      <c r="AH44" s="299"/>
      <c r="AI44" s="299"/>
      <c r="AJ44" s="299"/>
      <c r="AK44" s="299"/>
      <c r="AL44" s="299"/>
      <c r="AM44" s="299"/>
      <c r="AN44" s="284">
        <f t="shared" si="29"/>
        <v>0</v>
      </c>
      <c r="AO44" s="299"/>
      <c r="AP44" s="299"/>
      <c r="AQ44" s="299"/>
      <c r="AR44" s="299"/>
      <c r="AS44" s="299"/>
      <c r="AT44" s="299"/>
      <c r="AU44" s="299"/>
      <c r="AV44" s="284">
        <f t="shared" si="30"/>
        <v>0</v>
      </c>
      <c r="AW44" s="299"/>
      <c r="AX44" s="299"/>
      <c r="AY44" s="299"/>
      <c r="AZ44" s="299"/>
      <c r="BA44" s="299"/>
      <c r="BB44" s="299"/>
      <c r="BC44" s="299"/>
      <c r="BD44" s="284">
        <f t="shared" si="31"/>
        <v>0</v>
      </c>
      <c r="BE44" s="299"/>
      <c r="BF44" s="299"/>
      <c r="BG44" s="299"/>
      <c r="BH44" s="299"/>
      <c r="BI44" s="299"/>
      <c r="BJ44" s="299"/>
      <c r="BK44" s="299"/>
      <c r="BL44" s="284">
        <f t="shared" si="32"/>
        <v>0</v>
      </c>
      <c r="BM44" s="299"/>
      <c r="BN44" s="299"/>
      <c r="BO44" s="299"/>
      <c r="BP44" s="299"/>
      <c r="BQ44" s="299"/>
      <c r="BR44" s="299"/>
      <c r="BS44" s="299"/>
      <c r="BT44" s="284">
        <f t="shared" si="33"/>
        <v>0</v>
      </c>
      <c r="BU44" s="299"/>
      <c r="BV44" s="299"/>
      <c r="BW44" s="299"/>
      <c r="BX44" s="299"/>
      <c r="BY44" s="299"/>
      <c r="BZ44" s="299"/>
      <c r="CA44" s="299"/>
      <c r="CB44" s="284">
        <f t="shared" si="34"/>
        <v>0</v>
      </c>
      <c r="CC44" s="299"/>
      <c r="CD44" s="299"/>
      <c r="CE44" s="299"/>
      <c r="CF44" s="299"/>
      <c r="CG44" s="299"/>
      <c r="CH44" s="299"/>
      <c r="CI44" s="299"/>
      <c r="CJ44" s="284">
        <f t="shared" si="35"/>
        <v>0</v>
      </c>
    </row>
    <row r="45" spans="1:88" x14ac:dyDescent="0.25">
      <c r="B45" s="251"/>
      <c r="C45" s="235"/>
      <c r="D45" s="235"/>
      <c r="E45" s="235"/>
      <c r="F45" s="235"/>
      <c r="G45" s="235"/>
      <c r="H45" s="235"/>
      <c r="I45" s="235"/>
      <c r="J45" s="235"/>
      <c r="K45" s="235"/>
      <c r="L45" s="235"/>
      <c r="M45" s="235"/>
      <c r="N45" s="293"/>
      <c r="O45" s="233"/>
      <c r="P45" s="233"/>
      <c r="Q45" s="235"/>
      <c r="R45" s="235"/>
      <c r="S45" s="235"/>
      <c r="T45" s="235"/>
      <c r="U45" s="235"/>
      <c r="V45" s="235"/>
      <c r="W45" s="235"/>
      <c r="X45" s="293"/>
      <c r="Y45" s="235"/>
      <c r="Z45" s="235"/>
      <c r="AA45" s="235"/>
      <c r="AB45" s="235"/>
      <c r="AC45" s="235"/>
      <c r="AD45" s="235"/>
      <c r="AE45" s="235"/>
      <c r="AF45" s="293"/>
      <c r="AG45" s="235"/>
      <c r="AH45" s="235"/>
      <c r="AI45" s="235"/>
      <c r="AJ45" s="235"/>
      <c r="AK45" s="235"/>
      <c r="AL45" s="235"/>
      <c r="AM45" s="235"/>
      <c r="AN45" s="293"/>
      <c r="AO45" s="235"/>
      <c r="AP45" s="235"/>
      <c r="AQ45" s="235"/>
      <c r="AR45" s="235"/>
      <c r="AS45" s="235"/>
      <c r="AT45" s="235"/>
      <c r="AU45" s="235"/>
      <c r="AV45" s="293"/>
      <c r="AW45" s="235"/>
      <c r="AX45" s="235"/>
      <c r="AY45" s="235"/>
      <c r="AZ45" s="235"/>
      <c r="BA45" s="235"/>
      <c r="BB45" s="235"/>
      <c r="BC45" s="235"/>
      <c r="BD45" s="293"/>
      <c r="BE45" s="235"/>
      <c r="BF45" s="235"/>
      <c r="BG45" s="235"/>
      <c r="BH45" s="235"/>
      <c r="BI45" s="235"/>
      <c r="BJ45" s="235"/>
      <c r="BK45" s="235"/>
      <c r="BL45" s="293"/>
      <c r="BM45" s="235"/>
      <c r="BN45" s="235"/>
      <c r="BO45" s="235"/>
      <c r="BP45" s="235"/>
      <c r="BQ45" s="235"/>
      <c r="BR45" s="235"/>
      <c r="BS45" s="235"/>
      <c r="BT45" s="293"/>
      <c r="BU45" s="235"/>
      <c r="BV45" s="235"/>
      <c r="BW45" s="235"/>
      <c r="BX45" s="235"/>
      <c r="BY45" s="235"/>
      <c r="BZ45" s="235"/>
      <c r="CA45" s="235"/>
      <c r="CB45" s="293"/>
      <c r="CC45" s="235"/>
      <c r="CD45" s="235"/>
      <c r="CE45" s="235"/>
      <c r="CF45" s="235"/>
      <c r="CG45" s="235"/>
      <c r="CH45" s="235"/>
      <c r="CI45" s="235"/>
      <c r="CJ45" s="293"/>
    </row>
    <row r="46" spans="1:88" x14ac:dyDescent="0.25">
      <c r="B46" s="237" t="s">
        <v>158</v>
      </c>
      <c r="C46" s="235"/>
      <c r="D46" s="235"/>
      <c r="E46" s="235"/>
      <c r="F46" s="235"/>
      <c r="G46" s="235"/>
      <c r="H46" s="235"/>
      <c r="I46" s="235"/>
      <c r="J46" s="235"/>
      <c r="K46" s="235"/>
      <c r="L46" s="235"/>
      <c r="M46" s="235"/>
      <c r="N46" s="302"/>
      <c r="O46" s="233"/>
      <c r="P46" s="233"/>
      <c r="Q46" s="235"/>
      <c r="R46" s="235"/>
      <c r="S46" s="235"/>
      <c r="T46" s="235"/>
      <c r="U46" s="235"/>
      <c r="V46" s="235"/>
      <c r="W46" s="235"/>
      <c r="X46" s="302"/>
      <c r="Y46" s="235"/>
      <c r="Z46" s="235"/>
      <c r="AA46" s="235"/>
      <c r="AB46" s="235"/>
      <c r="AC46" s="235"/>
      <c r="AD46" s="235"/>
      <c r="AE46" s="235"/>
      <c r="AF46" s="302"/>
      <c r="AG46" s="235"/>
      <c r="AH46" s="235"/>
      <c r="AI46" s="235"/>
      <c r="AJ46" s="235"/>
      <c r="AK46" s="235"/>
      <c r="AL46" s="235"/>
      <c r="AM46" s="235"/>
      <c r="AN46" s="302"/>
      <c r="AO46" s="235"/>
      <c r="AP46" s="235"/>
      <c r="AQ46" s="235"/>
      <c r="AR46" s="235"/>
      <c r="AS46" s="235"/>
      <c r="AT46" s="235"/>
      <c r="AU46" s="235"/>
      <c r="AV46" s="302"/>
      <c r="AW46" s="235"/>
      <c r="AX46" s="235"/>
      <c r="AY46" s="235"/>
      <c r="AZ46" s="235"/>
      <c r="BA46" s="235"/>
      <c r="BB46" s="235"/>
      <c r="BC46" s="235"/>
      <c r="BD46" s="302"/>
      <c r="BE46" s="235"/>
      <c r="BF46" s="235"/>
      <c r="BG46" s="235"/>
      <c r="BH46" s="235"/>
      <c r="BI46" s="235"/>
      <c r="BJ46" s="235"/>
      <c r="BK46" s="235"/>
      <c r="BL46" s="302"/>
      <c r="BM46" s="235"/>
      <c r="BN46" s="235"/>
      <c r="BO46" s="235"/>
      <c r="BP46" s="235"/>
      <c r="BQ46" s="235"/>
      <c r="BR46" s="235"/>
      <c r="BS46" s="235"/>
      <c r="BT46" s="302"/>
      <c r="BU46" s="235"/>
      <c r="BV46" s="235"/>
      <c r="BW46" s="235"/>
      <c r="BX46" s="235"/>
      <c r="BY46" s="235"/>
      <c r="BZ46" s="235"/>
      <c r="CA46" s="235"/>
      <c r="CB46" s="302"/>
      <c r="CC46" s="235"/>
      <c r="CD46" s="235"/>
      <c r="CE46" s="235"/>
      <c r="CF46" s="235"/>
      <c r="CG46" s="235"/>
      <c r="CH46" s="235"/>
      <c r="CI46" s="235"/>
      <c r="CJ46" s="302"/>
    </row>
    <row r="47" spans="1:88" s="296" customFormat="1" x14ac:dyDescent="0.25">
      <c r="A47" s="296">
        <v>5</v>
      </c>
      <c r="B47" s="297" t="s">
        <v>159</v>
      </c>
      <c r="C47" s="278">
        <f>E47*52/$C$7</f>
        <v>26.666666666666668</v>
      </c>
      <c r="D47" s="278">
        <f>E47/60</f>
        <v>1.6666666666666667</v>
      </c>
      <c r="E47" s="277">
        <f t="shared" si="13"/>
        <v>100</v>
      </c>
      <c r="F47" s="298"/>
      <c r="G47" s="299"/>
      <c r="H47" s="299"/>
      <c r="I47" s="299"/>
      <c r="J47" s="299">
        <v>60</v>
      </c>
      <c r="K47" s="299">
        <v>30</v>
      </c>
      <c r="L47" s="299"/>
      <c r="M47" s="299">
        <v>10</v>
      </c>
      <c r="N47" s="300">
        <f t="shared" si="2"/>
        <v>100</v>
      </c>
      <c r="O47" s="301"/>
      <c r="P47" s="301"/>
      <c r="Q47" s="299"/>
      <c r="R47" s="299"/>
      <c r="S47" s="299"/>
      <c r="T47" s="299"/>
      <c r="U47" s="299"/>
      <c r="V47" s="299"/>
      <c r="W47" s="299"/>
      <c r="X47" s="300">
        <f>SUM(Q47:W47)</f>
        <v>0</v>
      </c>
      <c r="Y47" s="299"/>
      <c r="Z47" s="299"/>
      <c r="AA47" s="299"/>
      <c r="AB47" s="299"/>
      <c r="AC47" s="299"/>
      <c r="AD47" s="299"/>
      <c r="AE47" s="299"/>
      <c r="AF47" s="300">
        <f>SUM(Y47:AE47)</f>
        <v>0</v>
      </c>
      <c r="AG47" s="299"/>
      <c r="AH47" s="299"/>
      <c r="AI47" s="299"/>
      <c r="AJ47" s="299"/>
      <c r="AK47" s="299"/>
      <c r="AL47" s="299"/>
      <c r="AM47" s="299"/>
      <c r="AN47" s="300">
        <f>SUM(AG47:AM47)</f>
        <v>0</v>
      </c>
      <c r="AO47" s="299"/>
      <c r="AP47" s="299"/>
      <c r="AQ47" s="299"/>
      <c r="AR47" s="299"/>
      <c r="AS47" s="299"/>
      <c r="AT47" s="299"/>
      <c r="AU47" s="299"/>
      <c r="AV47" s="300">
        <f>SUM(AO47:AU47)</f>
        <v>0</v>
      </c>
      <c r="AW47" s="299"/>
      <c r="AX47" s="299"/>
      <c r="AY47" s="299"/>
      <c r="AZ47" s="299"/>
      <c r="BA47" s="299"/>
      <c r="BB47" s="299"/>
      <c r="BC47" s="299"/>
      <c r="BD47" s="300">
        <f>SUM(AW47:BC47)</f>
        <v>0</v>
      </c>
      <c r="BE47" s="299"/>
      <c r="BF47" s="299"/>
      <c r="BG47" s="299"/>
      <c r="BH47" s="299"/>
      <c r="BI47" s="299"/>
      <c r="BJ47" s="299"/>
      <c r="BK47" s="299"/>
      <c r="BL47" s="300">
        <f>SUM(BE47:BK47)</f>
        <v>0</v>
      </c>
      <c r="BM47" s="299"/>
      <c r="BN47" s="299"/>
      <c r="BO47" s="299"/>
      <c r="BP47" s="299"/>
      <c r="BQ47" s="299"/>
      <c r="BR47" s="299"/>
      <c r="BS47" s="299"/>
      <c r="BT47" s="300">
        <f>SUM(BM47:BS47)</f>
        <v>0</v>
      </c>
      <c r="BU47" s="299"/>
      <c r="BV47" s="299"/>
      <c r="BW47" s="299"/>
      <c r="BX47" s="299"/>
      <c r="BY47" s="299"/>
      <c r="BZ47" s="299"/>
      <c r="CA47" s="299"/>
      <c r="CB47" s="300">
        <f>SUM(BU47:CA47)</f>
        <v>0</v>
      </c>
      <c r="CC47" s="299"/>
      <c r="CD47" s="299"/>
      <c r="CE47" s="299"/>
      <c r="CF47" s="299"/>
      <c r="CG47" s="299"/>
      <c r="CH47" s="299"/>
      <c r="CI47" s="299"/>
      <c r="CJ47" s="300">
        <f>SUM(CC47:CI47)</f>
        <v>0</v>
      </c>
    </row>
    <row r="48" spans="1:88" s="296" customFormat="1" x14ac:dyDescent="0.25">
      <c r="A48" s="296">
        <v>6</v>
      </c>
      <c r="B48" s="297" t="s">
        <v>160</v>
      </c>
      <c r="C48" s="278">
        <f>E48*52/$C$7</f>
        <v>32</v>
      </c>
      <c r="D48" s="278">
        <f>E48/60</f>
        <v>2</v>
      </c>
      <c r="E48" s="277">
        <f t="shared" si="13"/>
        <v>120</v>
      </c>
      <c r="F48" s="298"/>
      <c r="G48" s="299"/>
      <c r="H48" s="299"/>
      <c r="I48" s="299"/>
      <c r="J48" s="299"/>
      <c r="K48" s="299"/>
      <c r="L48" s="299"/>
      <c r="M48" s="299">
        <v>120</v>
      </c>
      <c r="N48" s="284">
        <f t="shared" si="2"/>
        <v>120</v>
      </c>
      <c r="O48" s="292"/>
      <c r="P48" s="292"/>
      <c r="Q48" s="299"/>
      <c r="R48" s="299"/>
      <c r="S48" s="299"/>
      <c r="T48" s="299"/>
      <c r="U48" s="299"/>
      <c r="V48" s="299"/>
      <c r="W48" s="299"/>
      <c r="X48" s="284">
        <f>SUM(Q48:W48)</f>
        <v>0</v>
      </c>
      <c r="Y48" s="299"/>
      <c r="Z48" s="299"/>
      <c r="AA48" s="299"/>
      <c r="AB48" s="299"/>
      <c r="AC48" s="299"/>
      <c r="AD48" s="299"/>
      <c r="AE48" s="299"/>
      <c r="AF48" s="284">
        <f>SUM(Y48:AE48)</f>
        <v>0</v>
      </c>
      <c r="AG48" s="299"/>
      <c r="AH48" s="299"/>
      <c r="AI48" s="299"/>
      <c r="AJ48" s="299"/>
      <c r="AK48" s="299"/>
      <c r="AL48" s="299"/>
      <c r="AM48" s="299"/>
      <c r="AN48" s="284">
        <f>SUM(AG48:AM48)</f>
        <v>0</v>
      </c>
      <c r="AO48" s="299"/>
      <c r="AP48" s="299"/>
      <c r="AQ48" s="299"/>
      <c r="AR48" s="299"/>
      <c r="AS48" s="299"/>
      <c r="AT48" s="299"/>
      <c r="AU48" s="299"/>
      <c r="AV48" s="284">
        <f>SUM(AO48:AU48)</f>
        <v>0</v>
      </c>
      <c r="AW48" s="299"/>
      <c r="AX48" s="299"/>
      <c r="AY48" s="299"/>
      <c r="AZ48" s="299"/>
      <c r="BA48" s="299"/>
      <c r="BB48" s="299"/>
      <c r="BC48" s="299"/>
      <c r="BD48" s="284">
        <f>SUM(AW48:BC48)</f>
        <v>0</v>
      </c>
      <c r="BE48" s="299"/>
      <c r="BF48" s="299"/>
      <c r="BG48" s="299"/>
      <c r="BH48" s="299"/>
      <c r="BI48" s="299"/>
      <c r="BJ48" s="299"/>
      <c r="BK48" s="299"/>
      <c r="BL48" s="284">
        <f>SUM(BE48:BK48)</f>
        <v>0</v>
      </c>
      <c r="BM48" s="299"/>
      <c r="BN48" s="299"/>
      <c r="BO48" s="299"/>
      <c r="BP48" s="299"/>
      <c r="BQ48" s="299"/>
      <c r="BR48" s="299"/>
      <c r="BS48" s="299"/>
      <c r="BT48" s="284">
        <f>SUM(BM48:BS48)</f>
        <v>0</v>
      </c>
      <c r="BU48" s="299"/>
      <c r="BV48" s="299"/>
      <c r="BW48" s="299"/>
      <c r="BX48" s="299"/>
      <c r="BY48" s="299"/>
      <c r="BZ48" s="299"/>
      <c r="CA48" s="299"/>
      <c r="CB48" s="284">
        <f>SUM(BU48:CA48)</f>
        <v>0</v>
      </c>
      <c r="CC48" s="299"/>
      <c r="CD48" s="299"/>
      <c r="CE48" s="299"/>
      <c r="CF48" s="299"/>
      <c r="CG48" s="299"/>
      <c r="CH48" s="299"/>
      <c r="CI48" s="299"/>
      <c r="CJ48" s="284">
        <f>SUM(CC48:CI48)</f>
        <v>0</v>
      </c>
    </row>
    <row r="49" spans="1:88" s="296" customFormat="1" x14ac:dyDescent="0.25">
      <c r="A49" s="296">
        <v>7</v>
      </c>
      <c r="B49" s="297" t="s">
        <v>161</v>
      </c>
      <c r="C49" s="278">
        <f>E49*52/$C$7</f>
        <v>0</v>
      </c>
      <c r="D49" s="278">
        <f>E49/60</f>
        <v>0</v>
      </c>
      <c r="E49" s="277">
        <f t="shared" si="13"/>
        <v>0</v>
      </c>
      <c r="F49" s="298"/>
      <c r="G49" s="299"/>
      <c r="H49" s="299"/>
      <c r="I49" s="299"/>
      <c r="J49" s="299"/>
      <c r="K49" s="299"/>
      <c r="L49" s="299"/>
      <c r="M49" s="299"/>
      <c r="N49" s="284">
        <f t="shared" si="2"/>
        <v>0</v>
      </c>
      <c r="O49" s="292"/>
      <c r="P49" s="292"/>
      <c r="Q49" s="299"/>
      <c r="R49" s="299"/>
      <c r="S49" s="299"/>
      <c r="T49" s="299"/>
      <c r="U49" s="299"/>
      <c r="V49" s="299"/>
      <c r="W49" s="299"/>
      <c r="X49" s="284">
        <f>SUM(Q49:W49)</f>
        <v>0</v>
      </c>
      <c r="Y49" s="299"/>
      <c r="Z49" s="299"/>
      <c r="AA49" s="299"/>
      <c r="AB49" s="299"/>
      <c r="AC49" s="299"/>
      <c r="AD49" s="299"/>
      <c r="AE49" s="299"/>
      <c r="AF49" s="284">
        <f>SUM(Y49:AE49)</f>
        <v>0</v>
      </c>
      <c r="AG49" s="299"/>
      <c r="AH49" s="299"/>
      <c r="AI49" s="299"/>
      <c r="AJ49" s="299"/>
      <c r="AK49" s="299"/>
      <c r="AL49" s="299"/>
      <c r="AM49" s="299"/>
      <c r="AN49" s="284">
        <f>SUM(AG49:AM49)</f>
        <v>0</v>
      </c>
      <c r="AO49" s="299"/>
      <c r="AP49" s="299"/>
      <c r="AQ49" s="299"/>
      <c r="AR49" s="299"/>
      <c r="AS49" s="299"/>
      <c r="AT49" s="299"/>
      <c r="AU49" s="299"/>
      <c r="AV49" s="284">
        <f>SUM(AO49:AU49)</f>
        <v>0</v>
      </c>
      <c r="AW49" s="299"/>
      <c r="AX49" s="299"/>
      <c r="AY49" s="299"/>
      <c r="AZ49" s="299"/>
      <c r="BA49" s="299"/>
      <c r="BB49" s="299"/>
      <c r="BC49" s="299"/>
      <c r="BD49" s="284">
        <f>SUM(AW49:BC49)</f>
        <v>0</v>
      </c>
      <c r="BE49" s="299"/>
      <c r="BF49" s="299"/>
      <c r="BG49" s="299"/>
      <c r="BH49" s="299"/>
      <c r="BI49" s="299"/>
      <c r="BJ49" s="299"/>
      <c r="BK49" s="299"/>
      <c r="BL49" s="284">
        <f>SUM(BE49:BK49)</f>
        <v>0</v>
      </c>
      <c r="BM49" s="299"/>
      <c r="BN49" s="299"/>
      <c r="BO49" s="299"/>
      <c r="BP49" s="299"/>
      <c r="BQ49" s="299"/>
      <c r="BR49" s="299"/>
      <c r="BS49" s="299"/>
      <c r="BT49" s="284">
        <f>SUM(BM49:BS49)</f>
        <v>0</v>
      </c>
      <c r="BU49" s="299"/>
      <c r="BV49" s="299"/>
      <c r="BW49" s="299"/>
      <c r="BX49" s="299"/>
      <c r="BY49" s="299"/>
      <c r="BZ49" s="299"/>
      <c r="CA49" s="299"/>
      <c r="CB49" s="284">
        <f>SUM(BU49:CA49)</f>
        <v>0</v>
      </c>
      <c r="CC49" s="299"/>
      <c r="CD49" s="299"/>
      <c r="CE49" s="299"/>
      <c r="CF49" s="299"/>
      <c r="CG49" s="299"/>
      <c r="CH49" s="299"/>
      <c r="CI49" s="299"/>
      <c r="CJ49" s="284">
        <f>SUM(CC49:CI49)</f>
        <v>0</v>
      </c>
    </row>
    <row r="50" spans="1:88" s="296" customFormat="1" x14ac:dyDescent="0.25">
      <c r="A50" s="296">
        <v>8</v>
      </c>
      <c r="B50" s="297" t="s">
        <v>162</v>
      </c>
      <c r="C50" s="278">
        <f>E50*52/$C$7</f>
        <v>10.666666666666666</v>
      </c>
      <c r="D50" s="278">
        <f>E50/60</f>
        <v>0.66666666666666663</v>
      </c>
      <c r="E50" s="277">
        <f t="shared" si="13"/>
        <v>40</v>
      </c>
      <c r="F50" s="298"/>
      <c r="G50" s="299"/>
      <c r="H50" s="299"/>
      <c r="I50" s="299">
        <v>20</v>
      </c>
      <c r="J50" s="299"/>
      <c r="K50" s="299"/>
      <c r="L50" s="299">
        <v>20</v>
      </c>
      <c r="M50" s="299"/>
      <c r="N50" s="284">
        <f t="shared" si="2"/>
        <v>40</v>
      </c>
      <c r="O50" s="292">
        <f>SUM(N47:N50)</f>
        <v>260</v>
      </c>
      <c r="P50" s="292"/>
      <c r="Q50" s="299"/>
      <c r="R50" s="299"/>
      <c r="S50" s="299"/>
      <c r="T50" s="299"/>
      <c r="U50" s="299"/>
      <c r="V50" s="299"/>
      <c r="W50" s="299"/>
      <c r="X50" s="284">
        <f>SUM(Q50:W50)</f>
        <v>0</v>
      </c>
      <c r="Y50" s="299"/>
      <c r="Z50" s="299"/>
      <c r="AA50" s="299"/>
      <c r="AB50" s="299"/>
      <c r="AC50" s="299"/>
      <c r="AD50" s="299"/>
      <c r="AE50" s="299"/>
      <c r="AF50" s="284">
        <f>SUM(Y50:AE50)</f>
        <v>0</v>
      </c>
      <c r="AG50" s="299"/>
      <c r="AH50" s="299"/>
      <c r="AI50" s="299"/>
      <c r="AJ50" s="299"/>
      <c r="AK50" s="299"/>
      <c r="AL50" s="299"/>
      <c r="AM50" s="299"/>
      <c r="AN50" s="284">
        <f>SUM(AG50:AM50)</f>
        <v>0</v>
      </c>
      <c r="AO50" s="299"/>
      <c r="AP50" s="299"/>
      <c r="AQ50" s="299"/>
      <c r="AR50" s="299"/>
      <c r="AS50" s="299"/>
      <c r="AT50" s="299"/>
      <c r="AU50" s="299"/>
      <c r="AV50" s="284">
        <f>SUM(AO50:AU50)</f>
        <v>0</v>
      </c>
      <c r="AW50" s="299"/>
      <c r="AX50" s="299"/>
      <c r="AY50" s="299"/>
      <c r="AZ50" s="299"/>
      <c r="BA50" s="299"/>
      <c r="BB50" s="299"/>
      <c r="BC50" s="299"/>
      <c r="BD50" s="284">
        <f>SUM(AW50:BC50)</f>
        <v>0</v>
      </c>
      <c r="BE50" s="299"/>
      <c r="BF50" s="299"/>
      <c r="BG50" s="299"/>
      <c r="BH50" s="299"/>
      <c r="BI50" s="299"/>
      <c r="BJ50" s="299"/>
      <c r="BK50" s="299"/>
      <c r="BL50" s="284">
        <f>SUM(BE50:BK50)</f>
        <v>0</v>
      </c>
      <c r="BM50" s="299"/>
      <c r="BN50" s="299"/>
      <c r="BO50" s="299"/>
      <c r="BP50" s="299"/>
      <c r="BQ50" s="299"/>
      <c r="BR50" s="299"/>
      <c r="BS50" s="299"/>
      <c r="BT50" s="284">
        <f>SUM(BM50:BS50)</f>
        <v>0</v>
      </c>
      <c r="BU50" s="299"/>
      <c r="BV50" s="299"/>
      <c r="BW50" s="299"/>
      <c r="BX50" s="299"/>
      <c r="BY50" s="299"/>
      <c r="BZ50" s="299"/>
      <c r="CA50" s="299"/>
      <c r="CB50" s="284">
        <f>SUM(BU50:CA50)</f>
        <v>0</v>
      </c>
      <c r="CC50" s="299"/>
      <c r="CD50" s="299"/>
      <c r="CE50" s="299"/>
      <c r="CF50" s="299"/>
      <c r="CG50" s="299"/>
      <c r="CH50" s="299"/>
      <c r="CI50" s="299"/>
      <c r="CJ50" s="284">
        <f>SUM(CC50:CI50)</f>
        <v>0</v>
      </c>
    </row>
    <row r="51" spans="1:88" x14ac:dyDescent="0.25">
      <c r="B51" s="251"/>
      <c r="C51" s="235"/>
      <c r="D51" s="235"/>
      <c r="E51" s="235"/>
      <c r="F51" s="235"/>
      <c r="G51" s="235"/>
      <c r="H51" s="235"/>
      <c r="I51" s="235"/>
      <c r="J51" s="235"/>
      <c r="K51" s="235"/>
      <c r="L51" s="235"/>
      <c r="M51" s="235"/>
      <c r="N51" s="293"/>
      <c r="O51" s="233"/>
      <c r="P51" s="233"/>
      <c r="Q51" s="235"/>
      <c r="R51" s="235"/>
      <c r="S51" s="235"/>
      <c r="T51" s="235"/>
      <c r="U51" s="235"/>
      <c r="V51" s="235"/>
      <c r="W51" s="235"/>
      <c r="X51" s="293"/>
      <c r="Y51" s="235"/>
      <c r="Z51" s="235"/>
      <c r="AA51" s="235"/>
      <c r="AB51" s="235"/>
      <c r="AC51" s="235"/>
      <c r="AD51" s="235"/>
      <c r="AE51" s="235"/>
      <c r="AF51" s="293"/>
      <c r="AG51" s="235"/>
      <c r="AH51" s="235"/>
      <c r="AI51" s="235"/>
      <c r="AJ51" s="235"/>
      <c r="AK51" s="235"/>
      <c r="AL51" s="235"/>
      <c r="AM51" s="235"/>
      <c r="AN51" s="293"/>
      <c r="AO51" s="235"/>
      <c r="AP51" s="235"/>
      <c r="AQ51" s="235"/>
      <c r="AR51" s="235"/>
      <c r="AS51" s="235"/>
      <c r="AT51" s="235"/>
      <c r="AU51" s="235"/>
      <c r="AV51" s="293"/>
      <c r="AW51" s="235"/>
      <c r="AX51" s="235"/>
      <c r="AY51" s="235"/>
      <c r="AZ51" s="235"/>
      <c r="BA51" s="235"/>
      <c r="BB51" s="235"/>
      <c r="BC51" s="235"/>
      <c r="BD51" s="293"/>
      <c r="BE51" s="235"/>
      <c r="BF51" s="235"/>
      <c r="BG51" s="235"/>
      <c r="BH51" s="235"/>
      <c r="BI51" s="235"/>
      <c r="BJ51" s="235"/>
      <c r="BK51" s="235"/>
      <c r="BL51" s="293"/>
      <c r="BM51" s="235"/>
      <c r="BN51" s="235"/>
      <c r="BO51" s="235"/>
      <c r="BP51" s="235"/>
      <c r="BQ51" s="235"/>
      <c r="BR51" s="235"/>
      <c r="BS51" s="235"/>
      <c r="BT51" s="293"/>
      <c r="BU51" s="235"/>
      <c r="BV51" s="235"/>
      <c r="BW51" s="235"/>
      <c r="BX51" s="235"/>
      <c r="BY51" s="235"/>
      <c r="BZ51" s="235"/>
      <c r="CA51" s="235"/>
      <c r="CB51" s="293"/>
      <c r="CC51" s="235"/>
      <c r="CD51" s="235"/>
      <c r="CE51" s="235"/>
      <c r="CF51" s="235"/>
      <c r="CG51" s="235"/>
      <c r="CH51" s="235"/>
      <c r="CI51" s="235"/>
      <c r="CJ51" s="293"/>
    </row>
    <row r="52" spans="1:88" x14ac:dyDescent="0.25">
      <c r="B52" s="237" t="s">
        <v>163</v>
      </c>
      <c r="C52" s="235"/>
      <c r="D52" s="235"/>
      <c r="E52" s="235"/>
      <c r="F52" s="235"/>
      <c r="G52" s="235"/>
      <c r="H52" s="235"/>
      <c r="I52" s="235"/>
      <c r="J52" s="235"/>
      <c r="K52" s="235"/>
      <c r="L52" s="235"/>
      <c r="M52" s="235"/>
      <c r="N52" s="302"/>
      <c r="O52" s="233"/>
      <c r="P52" s="233"/>
      <c r="Q52" s="235"/>
      <c r="R52" s="235"/>
      <c r="S52" s="235"/>
      <c r="T52" s="235"/>
      <c r="U52" s="235"/>
      <c r="V52" s="235"/>
      <c r="W52" s="235"/>
      <c r="X52" s="302"/>
      <c r="Y52" s="235"/>
      <c r="Z52" s="235"/>
      <c r="AA52" s="235"/>
      <c r="AB52" s="235"/>
      <c r="AC52" s="235"/>
      <c r="AD52" s="235"/>
      <c r="AE52" s="235"/>
      <c r="AF52" s="302"/>
      <c r="AG52" s="235"/>
      <c r="AH52" s="235"/>
      <c r="AI52" s="235"/>
      <c r="AJ52" s="235"/>
      <c r="AK52" s="235"/>
      <c r="AL52" s="235"/>
      <c r="AM52" s="235"/>
      <c r="AN52" s="302"/>
      <c r="AO52" s="235"/>
      <c r="AP52" s="235"/>
      <c r="AQ52" s="235"/>
      <c r="AR52" s="235"/>
      <c r="AS52" s="235"/>
      <c r="AT52" s="235"/>
      <c r="AU52" s="235"/>
      <c r="AV52" s="302"/>
      <c r="AW52" s="235"/>
      <c r="AX52" s="235"/>
      <c r="AY52" s="235"/>
      <c r="AZ52" s="235"/>
      <c r="BA52" s="235"/>
      <c r="BB52" s="235"/>
      <c r="BC52" s="235"/>
      <c r="BD52" s="302"/>
      <c r="BE52" s="235"/>
      <c r="BF52" s="235"/>
      <c r="BG52" s="235"/>
      <c r="BH52" s="235"/>
      <c r="BI52" s="235"/>
      <c r="BJ52" s="235"/>
      <c r="BK52" s="235"/>
      <c r="BL52" s="302"/>
      <c r="BM52" s="235"/>
      <c r="BN52" s="235"/>
      <c r="BO52" s="235"/>
      <c r="BP52" s="235"/>
      <c r="BQ52" s="235"/>
      <c r="BR52" s="235"/>
      <c r="BS52" s="235"/>
      <c r="BT52" s="302"/>
      <c r="BU52" s="235"/>
      <c r="BV52" s="235"/>
      <c r="BW52" s="235"/>
      <c r="BX52" s="235"/>
      <c r="BY52" s="235"/>
      <c r="BZ52" s="235"/>
      <c r="CA52" s="235"/>
      <c r="CB52" s="302"/>
      <c r="CC52" s="235"/>
      <c r="CD52" s="235"/>
      <c r="CE52" s="235"/>
      <c r="CF52" s="235"/>
      <c r="CG52" s="235"/>
      <c r="CH52" s="235"/>
      <c r="CI52" s="235"/>
      <c r="CJ52" s="302"/>
    </row>
    <row r="53" spans="1:88" s="296" customFormat="1" x14ac:dyDescent="0.25">
      <c r="A53" s="296" t="s">
        <v>164</v>
      </c>
      <c r="B53" s="297" t="s">
        <v>165</v>
      </c>
      <c r="C53" s="278">
        <f>E53*52/$C$7</f>
        <v>45.333333333333336</v>
      </c>
      <c r="D53" s="278">
        <f>E53/60</f>
        <v>2.8333333333333335</v>
      </c>
      <c r="E53" s="277">
        <f t="shared" si="13"/>
        <v>170</v>
      </c>
      <c r="F53" s="298"/>
      <c r="G53" s="299">
        <v>50</v>
      </c>
      <c r="H53" s="299">
        <v>20</v>
      </c>
      <c r="I53" s="299">
        <v>20</v>
      </c>
      <c r="J53" s="299">
        <v>30</v>
      </c>
      <c r="K53" s="299">
        <v>30</v>
      </c>
      <c r="L53" s="299">
        <v>10</v>
      </c>
      <c r="M53" s="299">
        <v>10</v>
      </c>
      <c r="N53" s="300">
        <f t="shared" si="2"/>
        <v>170</v>
      </c>
      <c r="O53" s="301"/>
      <c r="P53" s="301"/>
      <c r="Q53" s="299"/>
      <c r="R53" s="299"/>
      <c r="S53" s="299"/>
      <c r="T53" s="299"/>
      <c r="U53" s="299"/>
      <c r="V53" s="299"/>
      <c r="W53" s="299"/>
      <c r="X53" s="300">
        <f>SUM(Q53:W53)</f>
        <v>0</v>
      </c>
      <c r="Y53" s="299"/>
      <c r="Z53" s="299"/>
      <c r="AA53" s="299"/>
      <c r="AB53" s="299"/>
      <c r="AC53" s="299"/>
      <c r="AD53" s="299"/>
      <c r="AE53" s="299"/>
      <c r="AF53" s="300">
        <f>SUM(Y53:AE53)</f>
        <v>0</v>
      </c>
      <c r="AG53" s="299"/>
      <c r="AH53" s="299"/>
      <c r="AI53" s="299"/>
      <c r="AJ53" s="299"/>
      <c r="AK53" s="299"/>
      <c r="AL53" s="299"/>
      <c r="AM53" s="299"/>
      <c r="AN53" s="300">
        <f>SUM(AG53:AM53)</f>
        <v>0</v>
      </c>
      <c r="AO53" s="299"/>
      <c r="AP53" s="299"/>
      <c r="AQ53" s="299"/>
      <c r="AR53" s="299"/>
      <c r="AS53" s="299"/>
      <c r="AT53" s="299"/>
      <c r="AU53" s="299"/>
      <c r="AV53" s="300">
        <f>SUM(AO53:AU53)</f>
        <v>0</v>
      </c>
      <c r="AW53" s="299"/>
      <c r="AX53" s="299"/>
      <c r="AY53" s="299"/>
      <c r="AZ53" s="299"/>
      <c r="BA53" s="299"/>
      <c r="BB53" s="299"/>
      <c r="BC53" s="299"/>
      <c r="BD53" s="300">
        <f>SUM(AW53:BC53)</f>
        <v>0</v>
      </c>
      <c r="BE53" s="299"/>
      <c r="BF53" s="299"/>
      <c r="BG53" s="299"/>
      <c r="BH53" s="299"/>
      <c r="BI53" s="299"/>
      <c r="BJ53" s="299"/>
      <c r="BK53" s="299"/>
      <c r="BL53" s="300">
        <f>SUM(BE53:BK53)</f>
        <v>0</v>
      </c>
      <c r="BM53" s="299"/>
      <c r="BN53" s="299"/>
      <c r="BO53" s="299"/>
      <c r="BP53" s="299"/>
      <c r="BQ53" s="299"/>
      <c r="BR53" s="299"/>
      <c r="BS53" s="299"/>
      <c r="BT53" s="300">
        <f>SUM(BM53:BS53)</f>
        <v>0</v>
      </c>
      <c r="BU53" s="299"/>
      <c r="BV53" s="299"/>
      <c r="BW53" s="299"/>
      <c r="BX53" s="299"/>
      <c r="BY53" s="299"/>
      <c r="BZ53" s="299"/>
      <c r="CA53" s="299"/>
      <c r="CB53" s="300">
        <f>SUM(BU53:CA53)</f>
        <v>0</v>
      </c>
      <c r="CC53" s="299"/>
      <c r="CD53" s="299"/>
      <c r="CE53" s="299"/>
      <c r="CF53" s="299"/>
      <c r="CG53" s="299"/>
      <c r="CH53" s="299"/>
      <c r="CI53" s="299"/>
      <c r="CJ53" s="300">
        <f>SUM(CC53:CI53)</f>
        <v>0</v>
      </c>
    </row>
    <row r="54" spans="1:88" s="296" customFormat="1" x14ac:dyDescent="0.25">
      <c r="A54" s="296" t="s">
        <v>166</v>
      </c>
      <c r="B54" s="297" t="s">
        <v>150</v>
      </c>
      <c r="C54" s="278">
        <f>E54*52/$C$7</f>
        <v>53.333333333333336</v>
      </c>
      <c r="D54" s="278">
        <f>E54/60</f>
        <v>3.3333333333333335</v>
      </c>
      <c r="E54" s="277">
        <f t="shared" si="13"/>
        <v>200</v>
      </c>
      <c r="F54" s="298"/>
      <c r="G54" s="299">
        <v>30</v>
      </c>
      <c r="H54" s="299">
        <v>30</v>
      </c>
      <c r="I54" s="299">
        <v>45</v>
      </c>
      <c r="J54" s="299">
        <v>45</v>
      </c>
      <c r="K54" s="299">
        <v>30</v>
      </c>
      <c r="L54" s="299">
        <v>10</v>
      </c>
      <c r="M54" s="299">
        <v>10</v>
      </c>
      <c r="N54" s="284">
        <f t="shared" si="2"/>
        <v>200</v>
      </c>
      <c r="O54" s="292">
        <f>SUM(N53:N54)</f>
        <v>370</v>
      </c>
      <c r="P54" s="292"/>
      <c r="Q54" s="299"/>
      <c r="R54" s="299"/>
      <c r="S54" s="299"/>
      <c r="T54" s="299"/>
      <c r="U54" s="299"/>
      <c r="V54" s="299"/>
      <c r="W54" s="299"/>
      <c r="X54" s="284">
        <f>SUM(Q54:W54)</f>
        <v>0</v>
      </c>
      <c r="Y54" s="299"/>
      <c r="Z54" s="299"/>
      <c r="AA54" s="299"/>
      <c r="AB54" s="299"/>
      <c r="AC54" s="299"/>
      <c r="AD54" s="299"/>
      <c r="AE54" s="299"/>
      <c r="AF54" s="284">
        <f>SUM(Y54:AE54)</f>
        <v>0</v>
      </c>
      <c r="AG54" s="299"/>
      <c r="AH54" s="299"/>
      <c r="AI54" s="299"/>
      <c r="AJ54" s="299"/>
      <c r="AK54" s="299"/>
      <c r="AL54" s="299"/>
      <c r="AM54" s="299"/>
      <c r="AN54" s="284">
        <f>SUM(AG54:AM54)</f>
        <v>0</v>
      </c>
      <c r="AO54" s="299"/>
      <c r="AP54" s="299"/>
      <c r="AQ54" s="299"/>
      <c r="AR54" s="299"/>
      <c r="AS54" s="299"/>
      <c r="AT54" s="299"/>
      <c r="AU54" s="299"/>
      <c r="AV54" s="284">
        <f>SUM(AO54:AU54)</f>
        <v>0</v>
      </c>
      <c r="AW54" s="299"/>
      <c r="AX54" s="299"/>
      <c r="AY54" s="299"/>
      <c r="AZ54" s="299"/>
      <c r="BA54" s="299"/>
      <c r="BB54" s="299"/>
      <c r="BC54" s="299"/>
      <c r="BD54" s="284">
        <f>SUM(AW54:BC54)</f>
        <v>0</v>
      </c>
      <c r="BE54" s="299"/>
      <c r="BF54" s="299"/>
      <c r="BG54" s="299"/>
      <c r="BH54" s="299"/>
      <c r="BI54" s="299"/>
      <c r="BJ54" s="299"/>
      <c r="BK54" s="299"/>
      <c r="BL54" s="284">
        <f>SUM(BE54:BK54)</f>
        <v>0</v>
      </c>
      <c r="BM54" s="299"/>
      <c r="BN54" s="299"/>
      <c r="BO54" s="299"/>
      <c r="BP54" s="299"/>
      <c r="BQ54" s="299"/>
      <c r="BR54" s="299"/>
      <c r="BS54" s="299"/>
      <c r="BT54" s="284">
        <f>SUM(BM54:BS54)</f>
        <v>0</v>
      </c>
      <c r="BU54" s="299"/>
      <c r="BV54" s="299"/>
      <c r="BW54" s="299"/>
      <c r="BX54" s="299"/>
      <c r="BY54" s="299"/>
      <c r="BZ54" s="299"/>
      <c r="CA54" s="299"/>
      <c r="CB54" s="284">
        <f>SUM(BU54:CA54)</f>
        <v>0</v>
      </c>
      <c r="CC54" s="299"/>
      <c r="CD54" s="299"/>
      <c r="CE54" s="299"/>
      <c r="CF54" s="299"/>
      <c r="CG54" s="299"/>
      <c r="CH54" s="299"/>
      <c r="CI54" s="299"/>
      <c r="CJ54" s="284">
        <f>SUM(CC54:CI54)</f>
        <v>0</v>
      </c>
    </row>
    <row r="55" spans="1:88" x14ac:dyDescent="0.25">
      <c r="B55" s="235"/>
      <c r="C55" s="235"/>
      <c r="D55" s="235"/>
      <c r="E55" s="235"/>
      <c r="F55" s="235"/>
      <c r="G55" s="235"/>
      <c r="H55" s="235"/>
      <c r="I55" s="235"/>
      <c r="J55" s="235"/>
      <c r="K55" s="235"/>
      <c r="L55" s="235"/>
      <c r="M55" s="235"/>
      <c r="N55" s="293"/>
      <c r="O55" s="233">
        <f>O28+O35+O50+O54</f>
        <v>4560</v>
      </c>
      <c r="P55" s="233">
        <f>SUM(N19:N54)</f>
        <v>4520</v>
      </c>
      <c r="Q55" s="235"/>
      <c r="R55" s="235"/>
      <c r="S55" s="235"/>
      <c r="T55" s="235"/>
      <c r="U55" s="235"/>
      <c r="V55" s="235"/>
      <c r="W55" s="235"/>
      <c r="X55" s="293"/>
      <c r="Y55" s="235"/>
      <c r="Z55" s="235"/>
      <c r="AA55" s="235"/>
      <c r="AB55" s="235"/>
      <c r="AC55" s="235"/>
      <c r="AD55" s="235"/>
      <c r="AE55" s="235"/>
      <c r="AF55" s="293"/>
      <c r="AG55" s="235"/>
      <c r="AH55" s="235"/>
      <c r="AI55" s="235"/>
      <c r="AJ55" s="235"/>
      <c r="AK55" s="235"/>
      <c r="AL55" s="235"/>
      <c r="AM55" s="235"/>
      <c r="AN55" s="293"/>
      <c r="AO55" s="235"/>
      <c r="AP55" s="235"/>
      <c r="AQ55" s="235"/>
      <c r="AR55" s="235"/>
      <c r="AS55" s="235"/>
      <c r="AT55" s="235"/>
      <c r="AU55" s="235"/>
      <c r="AV55" s="293"/>
      <c r="AW55" s="235"/>
      <c r="AX55" s="235"/>
      <c r="AY55" s="235"/>
      <c r="AZ55" s="235"/>
      <c r="BA55" s="235"/>
      <c r="BB55" s="235"/>
      <c r="BC55" s="235"/>
      <c r="BD55" s="293"/>
      <c r="BE55" s="235"/>
      <c r="BF55" s="235"/>
      <c r="BG55" s="235"/>
      <c r="BH55" s="235"/>
      <c r="BI55" s="235"/>
      <c r="BJ55" s="235"/>
      <c r="BK55" s="235"/>
      <c r="BL55" s="293"/>
      <c r="BM55" s="235"/>
      <c r="BN55" s="235"/>
      <c r="BO55" s="235"/>
      <c r="BP55" s="235"/>
      <c r="BQ55" s="235"/>
      <c r="BR55" s="235"/>
      <c r="BS55" s="235"/>
      <c r="BT55" s="293"/>
      <c r="BU55" s="235"/>
      <c r="BV55" s="235"/>
      <c r="BW55" s="235"/>
      <c r="BX55" s="235"/>
      <c r="BY55" s="235"/>
      <c r="BZ55" s="235"/>
      <c r="CA55" s="235"/>
      <c r="CB55" s="293"/>
      <c r="CC55" s="235"/>
      <c r="CD55" s="235"/>
      <c r="CE55" s="235"/>
      <c r="CF55" s="235"/>
      <c r="CG55" s="235"/>
      <c r="CH55" s="235"/>
      <c r="CI55" s="235"/>
      <c r="CJ55" s="293"/>
    </row>
    <row r="56" spans="1:88" s="305" customFormat="1" x14ac:dyDescent="0.25">
      <c r="B56" s="306" t="s">
        <v>167</v>
      </c>
      <c r="C56" s="307">
        <f>SUM(C19:C55)</f>
        <v>2608.266666666666</v>
      </c>
      <c r="D56" s="307">
        <f>SUM(D19:D55)</f>
        <v>163.01666666666662</v>
      </c>
      <c r="E56" s="307">
        <f>SUM(E19:E55)</f>
        <v>9781</v>
      </c>
      <c r="F56" s="307"/>
      <c r="G56" s="307">
        <f t="shared" ref="G56:BT56" si="36">SUM(G19:G55)</f>
        <v>555</v>
      </c>
      <c r="H56" s="307">
        <f t="shared" si="36"/>
        <v>680</v>
      </c>
      <c r="I56" s="307">
        <f t="shared" si="36"/>
        <v>525</v>
      </c>
      <c r="J56" s="307">
        <f t="shared" si="36"/>
        <v>560</v>
      </c>
      <c r="K56" s="307">
        <f t="shared" si="36"/>
        <v>530</v>
      </c>
      <c r="L56" s="307">
        <f t="shared" si="36"/>
        <v>375</v>
      </c>
      <c r="M56" s="307">
        <f t="shared" si="36"/>
        <v>1295</v>
      </c>
      <c r="N56" s="307">
        <f>SUM(N19:N55)</f>
        <v>4520</v>
      </c>
      <c r="O56" s="294"/>
      <c r="P56" s="294"/>
      <c r="Q56" s="307">
        <f>SUM(Q19:Q55)</f>
        <v>370</v>
      </c>
      <c r="R56" s="307">
        <f>SUM(R19:R55)</f>
        <v>9410</v>
      </c>
      <c r="S56" s="307">
        <f>SUM(S20:S55)</f>
        <v>1</v>
      </c>
      <c r="T56" s="307">
        <f t="shared" si="36"/>
        <v>0</v>
      </c>
      <c r="U56" s="307">
        <f t="shared" si="36"/>
        <v>0</v>
      </c>
      <c r="V56" s="307">
        <f t="shared" si="36"/>
        <v>0</v>
      </c>
      <c r="W56" s="307">
        <f t="shared" si="36"/>
        <v>0</v>
      </c>
      <c r="X56" s="307">
        <f t="shared" si="36"/>
        <v>5261</v>
      </c>
      <c r="Y56" s="307">
        <f t="shared" si="36"/>
        <v>0</v>
      </c>
      <c r="Z56" s="307">
        <f t="shared" si="36"/>
        <v>0</v>
      </c>
      <c r="AA56" s="307">
        <f t="shared" si="36"/>
        <v>0</v>
      </c>
      <c r="AB56" s="307">
        <f t="shared" si="36"/>
        <v>0</v>
      </c>
      <c r="AC56" s="307">
        <f t="shared" si="36"/>
        <v>0</v>
      </c>
      <c r="AD56" s="307">
        <f t="shared" si="36"/>
        <v>0</v>
      </c>
      <c r="AE56" s="307">
        <f t="shared" si="36"/>
        <v>0</v>
      </c>
      <c r="AF56" s="307">
        <f t="shared" si="36"/>
        <v>0</v>
      </c>
      <c r="AG56" s="307">
        <f t="shared" si="36"/>
        <v>0</v>
      </c>
      <c r="AH56" s="307">
        <f t="shared" si="36"/>
        <v>0</v>
      </c>
      <c r="AI56" s="307">
        <f t="shared" si="36"/>
        <v>0</v>
      </c>
      <c r="AJ56" s="307">
        <f t="shared" si="36"/>
        <v>0</v>
      </c>
      <c r="AK56" s="307">
        <f t="shared" si="36"/>
        <v>0</v>
      </c>
      <c r="AL56" s="307">
        <f t="shared" si="36"/>
        <v>0</v>
      </c>
      <c r="AM56" s="307">
        <f t="shared" si="36"/>
        <v>0</v>
      </c>
      <c r="AN56" s="307">
        <f t="shared" si="36"/>
        <v>0</v>
      </c>
      <c r="AO56" s="307">
        <f t="shared" si="36"/>
        <v>0</v>
      </c>
      <c r="AP56" s="307">
        <f t="shared" si="36"/>
        <v>0</v>
      </c>
      <c r="AQ56" s="307">
        <f t="shared" si="36"/>
        <v>0</v>
      </c>
      <c r="AR56" s="307">
        <f t="shared" si="36"/>
        <v>0</v>
      </c>
      <c r="AS56" s="307">
        <f t="shared" si="36"/>
        <v>0</v>
      </c>
      <c r="AT56" s="307">
        <f t="shared" si="36"/>
        <v>0</v>
      </c>
      <c r="AU56" s="307">
        <f t="shared" si="36"/>
        <v>0</v>
      </c>
      <c r="AV56" s="307">
        <f t="shared" si="36"/>
        <v>0</v>
      </c>
      <c r="AW56" s="307">
        <f t="shared" si="36"/>
        <v>0</v>
      </c>
      <c r="AX56" s="307">
        <f t="shared" si="36"/>
        <v>0</v>
      </c>
      <c r="AY56" s="307">
        <f t="shared" si="36"/>
        <v>0</v>
      </c>
      <c r="AZ56" s="307">
        <f t="shared" si="36"/>
        <v>0</v>
      </c>
      <c r="BA56" s="307">
        <f t="shared" si="36"/>
        <v>0</v>
      </c>
      <c r="BB56" s="307">
        <f t="shared" si="36"/>
        <v>0</v>
      </c>
      <c r="BC56" s="307">
        <f t="shared" si="36"/>
        <v>0</v>
      </c>
      <c r="BD56" s="307">
        <f t="shared" si="36"/>
        <v>0</v>
      </c>
      <c r="BE56" s="307">
        <f t="shared" si="36"/>
        <v>0</v>
      </c>
      <c r="BF56" s="307">
        <f t="shared" si="36"/>
        <v>0</v>
      </c>
      <c r="BG56" s="307">
        <f t="shared" si="36"/>
        <v>0</v>
      </c>
      <c r="BH56" s="307">
        <f t="shared" si="36"/>
        <v>0</v>
      </c>
      <c r="BI56" s="307">
        <f t="shared" si="36"/>
        <v>0</v>
      </c>
      <c r="BJ56" s="307">
        <f t="shared" si="36"/>
        <v>0</v>
      </c>
      <c r="BK56" s="307">
        <f t="shared" si="36"/>
        <v>0</v>
      </c>
      <c r="BL56" s="307">
        <f t="shared" si="36"/>
        <v>0</v>
      </c>
      <c r="BM56" s="307">
        <f t="shared" si="36"/>
        <v>0</v>
      </c>
      <c r="BN56" s="307">
        <f t="shared" si="36"/>
        <v>0</v>
      </c>
      <c r="BO56" s="307">
        <f t="shared" si="36"/>
        <v>0</v>
      </c>
      <c r="BP56" s="307">
        <f t="shared" si="36"/>
        <v>0</v>
      </c>
      <c r="BQ56" s="307">
        <f t="shared" si="36"/>
        <v>0</v>
      </c>
      <c r="BR56" s="307">
        <f t="shared" si="36"/>
        <v>0</v>
      </c>
      <c r="BS56" s="307">
        <f t="shared" si="36"/>
        <v>0</v>
      </c>
      <c r="BT56" s="307">
        <f t="shared" si="36"/>
        <v>0</v>
      </c>
      <c r="BU56" s="307">
        <f t="shared" ref="BU56:CJ56" si="37">SUM(BU19:BU55)</f>
        <v>0</v>
      </c>
      <c r="BV56" s="307">
        <f t="shared" si="37"/>
        <v>0</v>
      </c>
      <c r="BW56" s="307">
        <f t="shared" si="37"/>
        <v>0</v>
      </c>
      <c r="BX56" s="307">
        <f t="shared" si="37"/>
        <v>0</v>
      </c>
      <c r="BY56" s="307">
        <f t="shared" si="37"/>
        <v>0</v>
      </c>
      <c r="BZ56" s="307">
        <f t="shared" si="37"/>
        <v>0</v>
      </c>
      <c r="CA56" s="307">
        <f t="shared" si="37"/>
        <v>0</v>
      </c>
      <c r="CB56" s="307">
        <f t="shared" si="37"/>
        <v>0</v>
      </c>
      <c r="CC56" s="307">
        <f t="shared" si="37"/>
        <v>0</v>
      </c>
      <c r="CD56" s="307">
        <f t="shared" si="37"/>
        <v>0</v>
      </c>
      <c r="CE56" s="307">
        <f t="shared" si="37"/>
        <v>0</v>
      </c>
      <c r="CF56" s="307">
        <f t="shared" si="37"/>
        <v>0</v>
      </c>
      <c r="CG56" s="307">
        <f t="shared" si="37"/>
        <v>0</v>
      </c>
      <c r="CH56" s="307">
        <f t="shared" si="37"/>
        <v>0</v>
      </c>
      <c r="CI56" s="307">
        <f t="shared" si="37"/>
        <v>0</v>
      </c>
      <c r="CJ56" s="307">
        <f t="shared" si="37"/>
        <v>0</v>
      </c>
    </row>
    <row r="57" spans="1:88" s="308" customFormat="1" x14ac:dyDescent="0.25">
      <c r="B57" s="309" t="s">
        <v>168</v>
      </c>
      <c r="C57" s="310"/>
      <c r="D57" s="310"/>
      <c r="E57" s="310"/>
      <c r="F57" s="310"/>
      <c r="G57" s="310">
        <f>G56/60</f>
        <v>9.25</v>
      </c>
      <c r="H57" s="310">
        <f t="shared" ref="H57:BU57" si="38">H56/60</f>
        <v>11.333333333333334</v>
      </c>
      <c r="I57" s="310">
        <f t="shared" si="38"/>
        <v>8.75</v>
      </c>
      <c r="J57" s="310">
        <f t="shared" si="38"/>
        <v>9.3333333333333339</v>
      </c>
      <c r="K57" s="310">
        <f t="shared" si="38"/>
        <v>8.8333333333333339</v>
      </c>
      <c r="L57" s="310">
        <f t="shared" si="38"/>
        <v>6.25</v>
      </c>
      <c r="M57" s="310">
        <f t="shared" si="38"/>
        <v>21.583333333333332</v>
      </c>
      <c r="N57" s="310">
        <f t="shared" si="38"/>
        <v>75.333333333333329</v>
      </c>
      <c r="O57" s="311"/>
      <c r="P57" s="311"/>
      <c r="Q57" s="310">
        <f t="shared" si="38"/>
        <v>6.166666666666667</v>
      </c>
      <c r="R57" s="310">
        <f t="shared" si="38"/>
        <v>156.83333333333334</v>
      </c>
      <c r="S57" s="310">
        <f t="shared" si="38"/>
        <v>1.6666666666666666E-2</v>
      </c>
      <c r="T57" s="310">
        <f t="shared" si="38"/>
        <v>0</v>
      </c>
      <c r="U57" s="310">
        <f t="shared" si="38"/>
        <v>0</v>
      </c>
      <c r="V57" s="310">
        <f t="shared" si="38"/>
        <v>0</v>
      </c>
      <c r="W57" s="310">
        <f t="shared" si="38"/>
        <v>0</v>
      </c>
      <c r="X57" s="310">
        <f t="shared" si="38"/>
        <v>87.683333333333337</v>
      </c>
      <c r="Y57" s="310">
        <f t="shared" si="38"/>
        <v>0</v>
      </c>
      <c r="Z57" s="310">
        <f t="shared" si="38"/>
        <v>0</v>
      </c>
      <c r="AA57" s="310">
        <f t="shared" si="38"/>
        <v>0</v>
      </c>
      <c r="AB57" s="310">
        <f t="shared" si="38"/>
        <v>0</v>
      </c>
      <c r="AC57" s="310">
        <f t="shared" si="38"/>
        <v>0</v>
      </c>
      <c r="AD57" s="310">
        <f t="shared" si="38"/>
        <v>0</v>
      </c>
      <c r="AE57" s="310">
        <f t="shared" si="38"/>
        <v>0</v>
      </c>
      <c r="AF57" s="310">
        <f t="shared" si="38"/>
        <v>0</v>
      </c>
      <c r="AG57" s="310">
        <f t="shared" si="38"/>
        <v>0</v>
      </c>
      <c r="AH57" s="310">
        <f t="shared" si="38"/>
        <v>0</v>
      </c>
      <c r="AI57" s="310">
        <f t="shared" si="38"/>
        <v>0</v>
      </c>
      <c r="AJ57" s="310">
        <f t="shared" si="38"/>
        <v>0</v>
      </c>
      <c r="AK57" s="310">
        <f t="shared" si="38"/>
        <v>0</v>
      </c>
      <c r="AL57" s="310">
        <f t="shared" si="38"/>
        <v>0</v>
      </c>
      <c r="AM57" s="310">
        <f t="shared" si="38"/>
        <v>0</v>
      </c>
      <c r="AN57" s="310">
        <f t="shared" si="38"/>
        <v>0</v>
      </c>
      <c r="AO57" s="310">
        <f t="shared" si="38"/>
        <v>0</v>
      </c>
      <c r="AP57" s="310">
        <f t="shared" si="38"/>
        <v>0</v>
      </c>
      <c r="AQ57" s="310">
        <f t="shared" si="38"/>
        <v>0</v>
      </c>
      <c r="AR57" s="310">
        <f t="shared" si="38"/>
        <v>0</v>
      </c>
      <c r="AS57" s="310">
        <f t="shared" si="38"/>
        <v>0</v>
      </c>
      <c r="AT57" s="310">
        <f t="shared" si="38"/>
        <v>0</v>
      </c>
      <c r="AU57" s="310">
        <f t="shared" si="38"/>
        <v>0</v>
      </c>
      <c r="AV57" s="310">
        <f t="shared" si="38"/>
        <v>0</v>
      </c>
      <c r="AW57" s="310">
        <f t="shared" si="38"/>
        <v>0</v>
      </c>
      <c r="AX57" s="310">
        <f t="shared" si="38"/>
        <v>0</v>
      </c>
      <c r="AY57" s="310">
        <f t="shared" si="38"/>
        <v>0</v>
      </c>
      <c r="AZ57" s="310">
        <f t="shared" si="38"/>
        <v>0</v>
      </c>
      <c r="BA57" s="310">
        <f t="shared" si="38"/>
        <v>0</v>
      </c>
      <c r="BB57" s="310">
        <f t="shared" si="38"/>
        <v>0</v>
      </c>
      <c r="BC57" s="310">
        <f t="shared" si="38"/>
        <v>0</v>
      </c>
      <c r="BD57" s="310">
        <f t="shared" si="38"/>
        <v>0</v>
      </c>
      <c r="BE57" s="310">
        <f t="shared" si="38"/>
        <v>0</v>
      </c>
      <c r="BF57" s="310">
        <f t="shared" si="38"/>
        <v>0</v>
      </c>
      <c r="BG57" s="310">
        <f t="shared" si="38"/>
        <v>0</v>
      </c>
      <c r="BH57" s="310">
        <f t="shared" si="38"/>
        <v>0</v>
      </c>
      <c r="BI57" s="310">
        <f t="shared" si="38"/>
        <v>0</v>
      </c>
      <c r="BJ57" s="310">
        <f t="shared" si="38"/>
        <v>0</v>
      </c>
      <c r="BK57" s="310">
        <f t="shared" si="38"/>
        <v>0</v>
      </c>
      <c r="BL57" s="310">
        <f t="shared" si="38"/>
        <v>0</v>
      </c>
      <c r="BM57" s="310">
        <f t="shared" si="38"/>
        <v>0</v>
      </c>
      <c r="BN57" s="310">
        <f t="shared" si="38"/>
        <v>0</v>
      </c>
      <c r="BO57" s="310">
        <f t="shared" si="38"/>
        <v>0</v>
      </c>
      <c r="BP57" s="310">
        <f t="shared" si="38"/>
        <v>0</v>
      </c>
      <c r="BQ57" s="310">
        <f t="shared" si="38"/>
        <v>0</v>
      </c>
      <c r="BR57" s="310">
        <f t="shared" si="38"/>
        <v>0</v>
      </c>
      <c r="BS57" s="310">
        <f t="shared" si="38"/>
        <v>0</v>
      </c>
      <c r="BT57" s="310">
        <f t="shared" si="38"/>
        <v>0</v>
      </c>
      <c r="BU57" s="310">
        <f t="shared" si="38"/>
        <v>0</v>
      </c>
      <c r="BV57" s="310">
        <f t="shared" ref="BV57:CJ57" si="39">BV56/60</f>
        <v>0</v>
      </c>
      <c r="BW57" s="310">
        <f t="shared" si="39"/>
        <v>0</v>
      </c>
      <c r="BX57" s="310">
        <f t="shared" si="39"/>
        <v>0</v>
      </c>
      <c r="BY57" s="310">
        <f t="shared" si="39"/>
        <v>0</v>
      </c>
      <c r="BZ57" s="310">
        <f t="shared" si="39"/>
        <v>0</v>
      </c>
      <c r="CA57" s="310">
        <f t="shared" si="39"/>
        <v>0</v>
      </c>
      <c r="CB57" s="310">
        <f t="shared" si="39"/>
        <v>0</v>
      </c>
      <c r="CC57" s="310">
        <f t="shared" si="39"/>
        <v>0</v>
      </c>
      <c r="CD57" s="310">
        <f t="shared" si="39"/>
        <v>0</v>
      </c>
      <c r="CE57" s="310">
        <f t="shared" si="39"/>
        <v>0</v>
      </c>
      <c r="CF57" s="310">
        <f t="shared" si="39"/>
        <v>0</v>
      </c>
      <c r="CG57" s="310">
        <f t="shared" si="39"/>
        <v>0</v>
      </c>
      <c r="CH57" s="310">
        <f t="shared" si="39"/>
        <v>0</v>
      </c>
      <c r="CI57" s="310">
        <f t="shared" si="39"/>
        <v>0</v>
      </c>
      <c r="CJ57" s="310">
        <f t="shared" si="39"/>
        <v>0</v>
      </c>
    </row>
    <row r="58" spans="1:88" ht="15.75" thickBot="1" x14ac:dyDescent="0.3"/>
    <row r="59" spans="1:88" x14ac:dyDescent="0.25">
      <c r="H59" s="244" t="s">
        <v>169</v>
      </c>
      <c r="I59" s="245" t="s">
        <v>174</v>
      </c>
      <c r="J59" s="245"/>
      <c r="K59" s="246"/>
      <c r="O59" s="27"/>
      <c r="P59" s="27"/>
    </row>
    <row r="60" spans="1:88" x14ac:dyDescent="0.25">
      <c r="H60" s="248" t="s">
        <v>170</v>
      </c>
      <c r="I60" s="294">
        <v>493.7</v>
      </c>
      <c r="J60" s="312">
        <f>I60/I62</f>
        <v>0.20131573581982035</v>
      </c>
      <c r="K60" s="313"/>
      <c r="M60" s="35"/>
      <c r="O60" s="27"/>
      <c r="P60" s="27"/>
    </row>
    <row r="61" spans="1:88" x14ac:dyDescent="0.25">
      <c r="H61" s="248" t="s">
        <v>171</v>
      </c>
      <c r="I61" s="249">
        <f>N57*26</f>
        <v>1958.6666666666665</v>
      </c>
      <c r="J61" s="312">
        <f>1-J60</f>
        <v>0.79868426418017968</v>
      </c>
      <c r="K61" s="314"/>
      <c r="O61" s="27"/>
      <c r="P61" s="27"/>
    </row>
    <row r="62" spans="1:88" x14ac:dyDescent="0.25">
      <c r="H62" s="248" t="s">
        <v>172</v>
      </c>
      <c r="I62" s="294">
        <f>I60+I61</f>
        <v>2452.3666666666663</v>
      </c>
      <c r="J62" s="312">
        <f>SUM(J60:J61)</f>
        <v>1</v>
      </c>
      <c r="K62" s="313"/>
      <c r="O62" s="27"/>
      <c r="P62" s="27"/>
    </row>
    <row r="63" spans="1:88" ht="15.75" thickBot="1" x14ac:dyDescent="0.3">
      <c r="H63" s="256"/>
      <c r="I63" s="271"/>
      <c r="J63" s="271"/>
      <c r="K63" s="315"/>
    </row>
  </sheetData>
  <mergeCells count="20">
    <mergeCell ref="Q14:X14"/>
    <mergeCell ref="G2:N2"/>
    <mergeCell ref="D3:E3"/>
    <mergeCell ref="D5:E5"/>
    <mergeCell ref="D6:E6"/>
    <mergeCell ref="D7:E7"/>
    <mergeCell ref="D8:E8"/>
    <mergeCell ref="D9:E9"/>
    <mergeCell ref="D10:E10"/>
    <mergeCell ref="D11:E11"/>
    <mergeCell ref="D12:E12"/>
    <mergeCell ref="G14:N14"/>
    <mergeCell ref="BU14:CB14"/>
    <mergeCell ref="CC14:CJ14"/>
    <mergeCell ref="Y14:AF14"/>
    <mergeCell ref="AG14:AN14"/>
    <mergeCell ref="AO14:AV14"/>
    <mergeCell ref="AW14:BD14"/>
    <mergeCell ref="BE14:BL14"/>
    <mergeCell ref="BM14:BT14"/>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0"/>
  <sheetViews>
    <sheetView topLeftCell="A5" workbookViewId="0">
      <selection activeCell="B19" sqref="B19"/>
    </sheetView>
  </sheetViews>
  <sheetFormatPr defaultColWidth="11" defaultRowHeight="15" x14ac:dyDescent="0.25"/>
  <cols>
    <col min="1" max="1" width="5.7109375" style="2" customWidth="1"/>
    <col min="2" max="2" width="32.140625" style="2" customWidth="1"/>
    <col min="3" max="4" width="20.5703125" style="2" customWidth="1"/>
    <col min="5" max="5" width="15" style="2" customWidth="1"/>
    <col min="6" max="6" width="18.140625" style="337" customWidth="1"/>
    <col min="7" max="7" width="19.140625" style="2" customWidth="1"/>
    <col min="8" max="10" width="11" style="2"/>
    <col min="11" max="11" width="11" style="361"/>
    <col min="12" max="12" width="11" style="2"/>
    <col min="13" max="13" width="14.28515625" style="2" customWidth="1"/>
    <col min="14" max="14" width="17.42578125" style="2" customWidth="1"/>
    <col min="15" max="15" width="14.42578125" style="2" customWidth="1"/>
    <col min="16" max="16" width="17" style="2" customWidth="1"/>
    <col min="17" max="17" width="13.5703125" style="362" customWidth="1"/>
    <col min="18" max="18" width="15.28515625" style="2" customWidth="1"/>
    <col min="19" max="19" width="19.140625" style="2" customWidth="1"/>
    <col min="20" max="16384" width="11" style="2"/>
  </cols>
  <sheetData>
    <row r="1" spans="1:21" x14ac:dyDescent="0.25">
      <c r="A1" s="27" t="s">
        <v>312</v>
      </c>
      <c r="B1" s="27"/>
      <c r="C1" s="27"/>
      <c r="D1" s="27"/>
      <c r="E1" s="27"/>
    </row>
    <row r="2" spans="1:21" x14ac:dyDescent="0.25">
      <c r="B2" s="27"/>
      <c r="C2" s="27"/>
      <c r="D2" s="27"/>
      <c r="E2" s="27"/>
    </row>
    <row r="3" spans="1:21" x14ac:dyDescent="0.25">
      <c r="B3" s="27"/>
      <c r="C3" s="27"/>
      <c r="D3" s="27"/>
      <c r="E3" s="27"/>
    </row>
    <row r="4" spans="1:21" x14ac:dyDescent="0.25">
      <c r="B4" s="27"/>
      <c r="C4" s="27"/>
      <c r="D4" s="27"/>
      <c r="E4" s="27"/>
    </row>
    <row r="5" spans="1:21" x14ac:dyDescent="0.25">
      <c r="B5" s="27"/>
      <c r="C5" s="27"/>
      <c r="D5" s="27"/>
      <c r="E5" s="27"/>
    </row>
    <row r="6" spans="1:21" x14ac:dyDescent="0.25">
      <c r="B6" s="27"/>
      <c r="C6" s="27"/>
      <c r="D6" s="27"/>
      <c r="E6" s="27"/>
    </row>
    <row r="7" spans="1:21" x14ac:dyDescent="0.25">
      <c r="B7" s="27"/>
      <c r="C7" s="27"/>
      <c r="D7" s="27"/>
      <c r="E7" s="27"/>
    </row>
    <row r="8" spans="1:21" x14ac:dyDescent="0.25">
      <c r="B8" s="27"/>
      <c r="C8" s="27"/>
      <c r="D8" s="27"/>
      <c r="E8" s="27"/>
    </row>
    <row r="9" spans="1:21" x14ac:dyDescent="0.25">
      <c r="B9" s="27"/>
      <c r="C9" s="27"/>
      <c r="D9" s="27"/>
      <c r="E9" s="27"/>
    </row>
    <row r="10" spans="1:21" x14ac:dyDescent="0.25">
      <c r="B10" s="27"/>
      <c r="C10" s="27"/>
      <c r="D10" s="27"/>
      <c r="E10" s="27"/>
    </row>
    <row r="11" spans="1:21" ht="15.75" x14ac:dyDescent="0.25">
      <c r="F11" s="363"/>
      <c r="G11" s="19"/>
      <c r="H11" s="19"/>
      <c r="I11" s="19"/>
      <c r="J11" s="19"/>
      <c r="K11" s="364"/>
      <c r="L11" s="19"/>
      <c r="M11" s="19"/>
      <c r="N11" s="20"/>
    </row>
    <row r="13" spans="1:21" ht="12.75" customHeight="1" x14ac:dyDescent="0.25">
      <c r="B13" s="2" t="s">
        <v>315</v>
      </c>
    </row>
    <row r="14" spans="1:21" ht="1.5" customHeight="1" x14ac:dyDescent="0.25">
      <c r="B14" s="27" t="s">
        <v>276</v>
      </c>
      <c r="C14" s="27"/>
      <c r="D14" s="27"/>
      <c r="E14" s="27"/>
    </row>
    <row r="15" spans="1:21" s="22" customFormat="1" ht="93" customHeight="1" x14ac:dyDescent="0.3">
      <c r="B15" s="372"/>
      <c r="C15" s="372" t="s">
        <v>287</v>
      </c>
      <c r="D15" s="372" t="s">
        <v>289</v>
      </c>
      <c r="E15" s="372" t="s">
        <v>171</v>
      </c>
      <c r="F15" s="373" t="s">
        <v>273</v>
      </c>
      <c r="G15" s="75" t="s">
        <v>0</v>
      </c>
      <c r="H15" s="75" t="s">
        <v>18</v>
      </c>
      <c r="I15" s="76" t="s">
        <v>19</v>
      </c>
      <c r="J15" s="76" t="s">
        <v>69</v>
      </c>
      <c r="K15" s="365" t="s">
        <v>269</v>
      </c>
      <c r="L15" s="329" t="s">
        <v>313</v>
      </c>
      <c r="M15" s="329" t="s">
        <v>1</v>
      </c>
      <c r="N15" s="329" t="s">
        <v>2</v>
      </c>
      <c r="O15" s="329" t="s">
        <v>20</v>
      </c>
      <c r="P15" s="366" t="s">
        <v>71</v>
      </c>
      <c r="Q15" s="374" t="s">
        <v>270</v>
      </c>
      <c r="R15" s="375" t="s">
        <v>3</v>
      </c>
      <c r="S15" s="375" t="s">
        <v>314</v>
      </c>
      <c r="U15" s="22" t="s">
        <v>90</v>
      </c>
    </row>
    <row r="16" spans="1:21" ht="18.75" x14ac:dyDescent="0.3">
      <c r="A16" s="2" t="s">
        <v>288</v>
      </c>
      <c r="B16" s="6" t="s">
        <v>94</v>
      </c>
      <c r="C16" s="367"/>
      <c r="D16" s="331"/>
      <c r="E16" s="331"/>
      <c r="F16" s="201"/>
      <c r="G16" s="367"/>
      <c r="H16" s="331"/>
      <c r="I16" s="331"/>
      <c r="J16" s="331"/>
      <c r="L16" s="144"/>
      <c r="M16" s="143"/>
      <c r="N16" s="143"/>
      <c r="O16" s="143"/>
      <c r="P16" s="144"/>
      <c r="Q16" s="368">
        <f>E16-SUM(L16:P16)</f>
        <v>0</v>
      </c>
      <c r="R16" s="367"/>
      <c r="S16" s="331"/>
    </row>
    <row r="17" spans="2:19" ht="15.75" customHeight="1" x14ac:dyDescent="0.3">
      <c r="B17" s="5" t="s">
        <v>290</v>
      </c>
      <c r="C17" s="144"/>
      <c r="D17" s="143"/>
      <c r="E17" s="143"/>
      <c r="F17" s="201">
        <f>C17-SUM(G17:J17)-SUM(L17:P17)-S17-T17</f>
        <v>0</v>
      </c>
      <c r="G17" s="144"/>
      <c r="H17" s="143"/>
      <c r="I17" s="143"/>
      <c r="J17" s="143"/>
      <c r="K17" s="361">
        <f>D17-SUM(G17:J17)</f>
        <v>0</v>
      </c>
      <c r="L17" s="144"/>
      <c r="M17" s="143"/>
      <c r="N17" s="145"/>
      <c r="O17" s="143"/>
      <c r="P17" s="144"/>
      <c r="Q17" s="368">
        <f t="shared" ref="Q17:Q26" si="0">E17-SUM(L17:P17)</f>
        <v>0</v>
      </c>
      <c r="R17" s="144"/>
      <c r="S17" s="143"/>
    </row>
    <row r="18" spans="2:19" ht="18.75" x14ac:dyDescent="0.3">
      <c r="B18" s="5" t="s">
        <v>291</v>
      </c>
      <c r="C18" s="144"/>
      <c r="D18" s="143">
        <v>0</v>
      </c>
      <c r="E18" s="145"/>
      <c r="F18" s="201"/>
      <c r="G18" s="144"/>
      <c r="H18" s="143"/>
      <c r="I18" s="145"/>
      <c r="J18" s="143"/>
      <c r="K18" s="361">
        <f>D18-SUM(G18:J18)</f>
        <v>0</v>
      </c>
      <c r="L18" s="144"/>
      <c r="M18" s="143"/>
      <c r="N18" s="145"/>
      <c r="O18" s="143"/>
      <c r="P18" s="144"/>
      <c r="Q18" s="368">
        <f t="shared" si="0"/>
        <v>0</v>
      </c>
      <c r="R18" s="144"/>
      <c r="S18" s="143"/>
    </row>
    <row r="19" spans="2:19" ht="18.75" x14ac:dyDescent="0.3">
      <c r="B19" s="5" t="s">
        <v>96</v>
      </c>
      <c r="C19" s="144">
        <f>Q19</f>
        <v>0</v>
      </c>
      <c r="D19" s="143"/>
      <c r="E19" s="145">
        <v>0</v>
      </c>
      <c r="F19" s="201"/>
      <c r="G19" s="144"/>
      <c r="H19" s="143"/>
      <c r="I19" s="145"/>
      <c r="J19" s="143"/>
      <c r="K19" s="361">
        <f>D19-SUM(G19:J19)</f>
        <v>0</v>
      </c>
      <c r="L19" s="144">
        <f>$Q$75/3</f>
        <v>0</v>
      </c>
      <c r="M19" s="143">
        <f>$Q$75/3</f>
        <v>0</v>
      </c>
      <c r="N19" s="145">
        <f>$Q$75/3</f>
        <v>0</v>
      </c>
      <c r="O19" s="143"/>
      <c r="P19" s="144"/>
      <c r="Q19" s="368">
        <v>0</v>
      </c>
      <c r="R19" s="144"/>
      <c r="S19" s="143"/>
    </row>
    <row r="20" spans="2:19" ht="18.75" x14ac:dyDescent="0.3">
      <c r="B20" s="5" t="s">
        <v>178</v>
      </c>
      <c r="C20" s="144"/>
      <c r="D20" s="143"/>
      <c r="E20" s="145">
        <v>0</v>
      </c>
      <c r="F20" s="201"/>
      <c r="G20" s="144"/>
      <c r="H20" s="143"/>
      <c r="I20" s="145"/>
      <c r="J20" s="143"/>
      <c r="K20" s="361">
        <f t="shared" ref="K20:K29" si="1">D20-SUM(G20:J20)</f>
        <v>0</v>
      </c>
      <c r="L20" s="144"/>
      <c r="M20" s="143">
        <v>0</v>
      </c>
      <c r="N20" s="145"/>
      <c r="O20" s="143"/>
      <c r="P20" s="144"/>
      <c r="Q20" s="368">
        <f t="shared" si="0"/>
        <v>0</v>
      </c>
      <c r="R20" s="144"/>
      <c r="S20" s="143"/>
    </row>
    <row r="21" spans="2:19" ht="18.75" x14ac:dyDescent="0.3">
      <c r="B21" s="5" t="s">
        <v>97</v>
      </c>
      <c r="C21" s="144"/>
      <c r="D21" s="143"/>
      <c r="E21" s="145">
        <v>0</v>
      </c>
      <c r="F21" s="201"/>
      <c r="G21" s="144"/>
      <c r="H21" s="143"/>
      <c r="I21" s="145"/>
      <c r="J21" s="143"/>
      <c r="K21" s="361">
        <f t="shared" si="1"/>
        <v>0</v>
      </c>
      <c r="L21" s="144"/>
      <c r="M21" s="143"/>
      <c r="N21" s="145">
        <v>0</v>
      </c>
      <c r="O21" s="143"/>
      <c r="P21" s="144"/>
      <c r="Q21" s="368">
        <f t="shared" si="0"/>
        <v>0</v>
      </c>
      <c r="R21" s="144"/>
      <c r="S21" s="143"/>
    </row>
    <row r="22" spans="2:19" ht="18.75" x14ac:dyDescent="0.3">
      <c r="B22" s="5" t="s">
        <v>99</v>
      </c>
      <c r="C22" s="144"/>
      <c r="D22" s="143"/>
      <c r="E22" s="145"/>
      <c r="F22" s="201"/>
      <c r="G22" s="144"/>
      <c r="H22" s="143"/>
      <c r="I22" s="145"/>
      <c r="J22" s="143"/>
      <c r="K22" s="361">
        <f t="shared" si="1"/>
        <v>0</v>
      </c>
      <c r="L22" s="144"/>
      <c r="M22" s="143"/>
      <c r="N22" s="145">
        <v>0</v>
      </c>
      <c r="O22" s="143"/>
      <c r="P22" s="144"/>
      <c r="Q22" s="368">
        <f t="shared" si="0"/>
        <v>0</v>
      </c>
      <c r="R22" s="144"/>
      <c r="S22" s="143"/>
    </row>
    <row r="23" spans="2:19" ht="18.75" x14ac:dyDescent="0.3">
      <c r="B23" s="5" t="s">
        <v>100</v>
      </c>
      <c r="C23" s="144"/>
      <c r="D23" s="143"/>
      <c r="E23" s="145">
        <v>0</v>
      </c>
      <c r="F23" s="201"/>
      <c r="G23" s="144"/>
      <c r="H23" s="143"/>
      <c r="I23" s="145"/>
      <c r="J23" s="143"/>
      <c r="K23" s="361">
        <f t="shared" si="1"/>
        <v>0</v>
      </c>
      <c r="L23" s="144">
        <v>0</v>
      </c>
      <c r="M23" s="143">
        <v>0</v>
      </c>
      <c r="N23" s="145">
        <v>0</v>
      </c>
      <c r="O23" s="143"/>
      <c r="P23" s="144"/>
      <c r="Q23" s="368">
        <f t="shared" si="0"/>
        <v>0</v>
      </c>
      <c r="R23" s="144"/>
      <c r="S23" s="143"/>
    </row>
    <row r="24" spans="2:19" ht="18.75" x14ac:dyDescent="0.3">
      <c r="B24" s="5" t="s">
        <v>76</v>
      </c>
      <c r="C24" s="144"/>
      <c r="D24" s="143"/>
      <c r="E24" s="145">
        <v>0</v>
      </c>
      <c r="F24" s="201"/>
      <c r="G24" s="144"/>
      <c r="H24" s="143"/>
      <c r="I24" s="145"/>
      <c r="J24" s="143"/>
      <c r="K24" s="361">
        <f t="shared" si="1"/>
        <v>0</v>
      </c>
      <c r="L24" s="367"/>
      <c r="M24" s="331"/>
      <c r="N24" s="331"/>
      <c r="O24" s="331">
        <v>0</v>
      </c>
      <c r="P24" s="367"/>
      <c r="Q24" s="368">
        <f t="shared" si="0"/>
        <v>0</v>
      </c>
      <c r="R24" s="144"/>
      <c r="S24" s="143"/>
    </row>
    <row r="25" spans="2:19" ht="18.75" x14ac:dyDescent="0.3">
      <c r="B25" s="5" t="s">
        <v>179</v>
      </c>
      <c r="C25" s="367">
        <v>0</v>
      </c>
      <c r="D25" s="331"/>
      <c r="E25" s="331">
        <v>0</v>
      </c>
      <c r="F25" s="201"/>
      <c r="G25" s="367"/>
      <c r="H25" s="331"/>
      <c r="I25" s="331"/>
      <c r="J25" s="331"/>
      <c r="K25" s="361">
        <f t="shared" si="1"/>
        <v>0</v>
      </c>
      <c r="L25" s="144">
        <v>0</v>
      </c>
      <c r="M25" s="143"/>
      <c r="N25" s="143"/>
      <c r="O25" s="143"/>
      <c r="P25" s="144"/>
      <c r="Q25" s="368">
        <f t="shared" si="0"/>
        <v>0</v>
      </c>
      <c r="R25" s="367"/>
      <c r="S25" s="331"/>
    </row>
    <row r="26" spans="2:19" ht="18.75" x14ac:dyDescent="0.3">
      <c r="B26" s="5" t="s">
        <v>101</v>
      </c>
      <c r="C26" s="144">
        <v>0</v>
      </c>
      <c r="D26" s="143"/>
      <c r="E26" s="143"/>
      <c r="F26" s="201"/>
      <c r="G26" s="144"/>
      <c r="H26" s="143"/>
      <c r="I26" s="143"/>
      <c r="J26" s="143"/>
      <c r="K26" s="361">
        <f t="shared" si="1"/>
        <v>0</v>
      </c>
      <c r="L26" s="144"/>
      <c r="M26" s="143"/>
      <c r="N26" s="145"/>
      <c r="O26" s="143"/>
      <c r="P26" s="144"/>
      <c r="Q26" s="368">
        <f t="shared" si="0"/>
        <v>0</v>
      </c>
      <c r="R26" s="144"/>
      <c r="S26" s="143"/>
    </row>
    <row r="27" spans="2:19" ht="18.75" x14ac:dyDescent="0.3">
      <c r="B27" s="5" t="s">
        <v>180</v>
      </c>
      <c r="C27" s="144"/>
      <c r="D27" s="143"/>
      <c r="E27" s="145"/>
      <c r="F27" s="201"/>
      <c r="G27" s="144"/>
      <c r="H27" s="143"/>
      <c r="I27" s="145"/>
      <c r="J27" s="143"/>
      <c r="K27" s="361">
        <f t="shared" si="1"/>
        <v>0</v>
      </c>
      <c r="L27" s="144"/>
      <c r="M27" s="143">
        <v>0</v>
      </c>
      <c r="N27" s="145"/>
      <c r="O27" s="143"/>
      <c r="P27" s="144"/>
      <c r="Q27" s="369"/>
      <c r="R27" s="144"/>
      <c r="S27" s="143"/>
    </row>
    <row r="28" spans="2:19" ht="18.75" x14ac:dyDescent="0.3">
      <c r="B28" s="5" t="s">
        <v>102</v>
      </c>
      <c r="C28" s="144"/>
      <c r="D28" s="143"/>
      <c r="E28" s="145"/>
      <c r="F28" s="201"/>
      <c r="G28" s="144"/>
      <c r="H28" s="143"/>
      <c r="I28" s="145"/>
      <c r="J28" s="143"/>
      <c r="K28" s="361">
        <f t="shared" si="1"/>
        <v>0</v>
      </c>
      <c r="L28" s="144"/>
      <c r="M28" s="143">
        <v>0</v>
      </c>
      <c r="N28" s="145">
        <v>0</v>
      </c>
      <c r="O28" s="143"/>
      <c r="P28" s="144"/>
      <c r="Q28" s="369"/>
      <c r="R28" s="144"/>
      <c r="S28" s="143"/>
    </row>
    <row r="29" spans="2:19" ht="18.75" x14ac:dyDescent="0.3">
      <c r="B29" s="5"/>
      <c r="C29" s="5"/>
      <c r="D29" s="5"/>
      <c r="E29" s="5"/>
      <c r="F29" s="201"/>
      <c r="G29" s="144"/>
      <c r="H29" s="143"/>
      <c r="I29" s="145"/>
      <c r="J29" s="143"/>
      <c r="K29" s="361">
        <f t="shared" si="1"/>
        <v>0</v>
      </c>
      <c r="L29" s="144"/>
      <c r="M29" s="143"/>
      <c r="N29" s="143"/>
      <c r="O29" s="143"/>
      <c r="P29" s="144"/>
      <c r="Q29" s="369"/>
      <c r="R29" s="144"/>
      <c r="S29" s="143"/>
    </row>
    <row r="30" spans="2:19" ht="18.75" x14ac:dyDescent="0.3">
      <c r="B30" s="5" t="s">
        <v>103</v>
      </c>
      <c r="C30" s="3"/>
      <c r="D30" s="3"/>
      <c r="E30" s="3"/>
      <c r="F30" s="201">
        <f t="shared" ref="F30" si="2">SUM(F16:F28)</f>
        <v>0</v>
      </c>
      <c r="G30" s="3">
        <f>SUM(G16:G28)</f>
        <v>0</v>
      </c>
      <c r="H30" s="3">
        <f t="shared" ref="H30:R30" si="3">SUM(H16:H28)</f>
        <v>0</v>
      </c>
      <c r="I30" s="3">
        <f t="shared" si="3"/>
        <v>0</v>
      </c>
      <c r="J30" s="3">
        <f t="shared" si="3"/>
        <v>0</v>
      </c>
      <c r="K30" s="370">
        <f t="shared" si="3"/>
        <v>0</v>
      </c>
      <c r="L30" s="8">
        <f t="shared" si="3"/>
        <v>0</v>
      </c>
      <c r="M30" s="8">
        <f t="shared" si="3"/>
        <v>0</v>
      </c>
      <c r="N30" s="8">
        <f t="shared" si="3"/>
        <v>0</v>
      </c>
      <c r="O30" s="8">
        <f t="shared" si="3"/>
        <v>0</v>
      </c>
      <c r="P30" s="8">
        <f t="shared" si="3"/>
        <v>0</v>
      </c>
      <c r="Q30" s="371">
        <f t="shared" si="3"/>
        <v>0</v>
      </c>
      <c r="R30" s="8">
        <f t="shared" si="3"/>
        <v>0</v>
      </c>
      <c r="S30" s="8"/>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B25" sqref="B24:D25"/>
    </sheetView>
  </sheetViews>
  <sheetFormatPr defaultRowHeight="15" x14ac:dyDescent="0.25"/>
  <cols>
    <col min="1" max="1" width="19" customWidth="1"/>
    <col min="2" max="2" width="33.7109375" customWidth="1"/>
    <col min="3" max="3" width="16.85546875" customWidth="1"/>
    <col min="4" max="4" width="17" customWidth="1"/>
    <col min="5" max="5" width="15.28515625" customWidth="1"/>
    <col min="6" max="6" width="14.42578125" customWidth="1"/>
  </cols>
  <sheetData>
    <row r="1" spans="1:6" ht="45" x14ac:dyDescent="0.25">
      <c r="A1" s="24" t="s">
        <v>278</v>
      </c>
      <c r="B1" s="26"/>
      <c r="C1" s="25" t="s">
        <v>186</v>
      </c>
      <c r="D1" s="25" t="s">
        <v>187</v>
      </c>
      <c r="E1" s="25" t="s">
        <v>188</v>
      </c>
      <c r="F1" s="25" t="s">
        <v>93</v>
      </c>
    </row>
    <row r="2" spans="1:6" x14ac:dyDescent="0.25">
      <c r="A2" s="22"/>
      <c r="B2" s="27">
        <v>1000</v>
      </c>
      <c r="C2" s="7">
        <v>0</v>
      </c>
      <c r="D2" s="7">
        <v>0</v>
      </c>
      <c r="E2" s="7">
        <v>0</v>
      </c>
      <c r="F2" s="7">
        <v>0</v>
      </c>
    </row>
    <row r="3" spans="1:6" x14ac:dyDescent="0.25">
      <c r="A3" s="22"/>
      <c r="B3" s="2"/>
      <c r="C3" s="7">
        <v>0</v>
      </c>
      <c r="D3" s="7">
        <v>0</v>
      </c>
      <c r="E3" s="7">
        <v>0</v>
      </c>
      <c r="F3" s="7">
        <v>0</v>
      </c>
    </row>
    <row r="4" spans="1:6" x14ac:dyDescent="0.25">
      <c r="A4" s="30"/>
      <c r="B4" s="2"/>
      <c r="C4" s="7"/>
      <c r="D4" s="7"/>
      <c r="E4" s="7"/>
      <c r="F4" s="7"/>
    </row>
    <row r="5" spans="1:6" x14ac:dyDescent="0.25">
      <c r="A5" s="29"/>
      <c r="B5" s="2"/>
      <c r="C5" s="2"/>
      <c r="D5" s="2"/>
      <c r="E5" s="2"/>
      <c r="F5" s="2"/>
    </row>
    <row r="6" spans="1:6" ht="30" x14ac:dyDescent="0.25">
      <c r="A6" s="24" t="s">
        <v>279</v>
      </c>
      <c r="B6" s="26"/>
      <c r="C6" s="28">
        <v>0</v>
      </c>
      <c r="D6" s="28">
        <v>0</v>
      </c>
      <c r="E6" s="28">
        <v>0</v>
      </c>
      <c r="F6" s="28">
        <v>0</v>
      </c>
    </row>
    <row r="7" spans="1:6" x14ac:dyDescent="0.25">
      <c r="A7" s="22"/>
      <c r="B7" s="2"/>
      <c r="C7" s="2"/>
      <c r="D7" s="2"/>
      <c r="E7" s="2"/>
      <c r="F7" s="2"/>
    </row>
    <row r="8" spans="1:6" x14ac:dyDescent="0.25">
      <c r="A8" s="22"/>
      <c r="B8" s="2"/>
      <c r="C8" s="2"/>
      <c r="D8" s="2"/>
      <c r="E8" s="2"/>
      <c r="F8" s="2"/>
    </row>
    <row r="9" spans="1:6" ht="45" x14ac:dyDescent="0.25">
      <c r="A9" s="23" t="s">
        <v>275</v>
      </c>
      <c r="B9" s="2"/>
      <c r="C9" s="2" t="s">
        <v>91</v>
      </c>
      <c r="D9" s="2"/>
      <c r="E9" s="2"/>
      <c r="F9" s="2"/>
    </row>
    <row r="10" spans="1:6" x14ac:dyDescent="0.25">
      <c r="A10" s="22"/>
      <c r="B10" s="2"/>
      <c r="C10" s="7">
        <v>0</v>
      </c>
      <c r="D10" s="7">
        <v>0</v>
      </c>
      <c r="E10" s="7">
        <v>0</v>
      </c>
      <c r="F10" s="7">
        <v>0</v>
      </c>
    </row>
    <row r="11" spans="1:6" x14ac:dyDescent="0.25">
      <c r="A11" s="22"/>
      <c r="B11" s="2"/>
      <c r="C11" s="7">
        <v>0</v>
      </c>
      <c r="D11" s="7">
        <v>0</v>
      </c>
      <c r="E11" s="7">
        <v>0</v>
      </c>
      <c r="F11" s="7">
        <v>0</v>
      </c>
    </row>
    <row r="12" spans="1:6" x14ac:dyDescent="0.25">
      <c r="A12" s="30"/>
      <c r="B12" s="2"/>
      <c r="C12" s="2"/>
      <c r="D12" s="2"/>
      <c r="E12" s="2"/>
      <c r="F12" s="2"/>
    </row>
    <row r="13" spans="1:6" x14ac:dyDescent="0.25">
      <c r="A13" s="22"/>
      <c r="B13" s="2"/>
      <c r="C13" s="2"/>
      <c r="D13" s="2"/>
      <c r="E13" s="2"/>
      <c r="F13" s="2"/>
    </row>
    <row r="14" spans="1:6" ht="30" x14ac:dyDescent="0.25">
      <c r="A14" s="24" t="s">
        <v>280</v>
      </c>
      <c r="B14" s="26"/>
      <c r="C14" s="28">
        <v>0</v>
      </c>
      <c r="D14" s="28">
        <v>0</v>
      </c>
      <c r="E14" s="28">
        <v>0</v>
      </c>
      <c r="F14" s="28">
        <v>0</v>
      </c>
    </row>
    <row r="15" spans="1:6" x14ac:dyDescent="0.25">
      <c r="A15" s="2"/>
      <c r="B15" s="2"/>
      <c r="C15" s="2" t="s">
        <v>277</v>
      </c>
      <c r="D15" s="2"/>
      <c r="E15" s="14">
        <v>0.05</v>
      </c>
      <c r="F15" s="2"/>
    </row>
    <row r="16" spans="1:6" ht="30" x14ac:dyDescent="0.25">
      <c r="A16" s="24" t="s">
        <v>281</v>
      </c>
      <c r="B16" s="26"/>
      <c r="C16" s="25" t="s">
        <v>186</v>
      </c>
      <c r="D16" s="25" t="s">
        <v>187</v>
      </c>
      <c r="E16" s="25" t="s">
        <v>188</v>
      </c>
      <c r="F16" s="25" t="s">
        <v>93</v>
      </c>
    </row>
    <row r="17" spans="1:6" x14ac:dyDescent="0.25">
      <c r="A17" s="22"/>
      <c r="B17" s="2"/>
      <c r="C17" s="7">
        <v>0</v>
      </c>
      <c r="D17" s="7">
        <v>0</v>
      </c>
      <c r="E17" s="7">
        <v>0</v>
      </c>
      <c r="F17" s="7">
        <v>0</v>
      </c>
    </row>
    <row r="18" spans="1:6" x14ac:dyDescent="0.25">
      <c r="A18" s="22"/>
      <c r="B18" s="2"/>
      <c r="C18" s="7">
        <v>0</v>
      </c>
      <c r="D18" s="7">
        <v>0</v>
      </c>
      <c r="E18" s="7">
        <v>0</v>
      </c>
      <c r="F18" s="7">
        <v>0</v>
      </c>
    </row>
    <row r="19" spans="1:6" x14ac:dyDescent="0.25">
      <c r="A19" s="30"/>
      <c r="B19" s="2"/>
      <c r="C19" s="2"/>
      <c r="D19" s="2"/>
      <c r="E19" s="2"/>
      <c r="F19" s="2"/>
    </row>
    <row r="20" spans="1:6" x14ac:dyDescent="0.25">
      <c r="A20" s="2"/>
      <c r="B20" s="2"/>
      <c r="C20" s="2"/>
      <c r="D20" s="2"/>
      <c r="E20" s="2"/>
      <c r="F20" s="2"/>
    </row>
    <row r="21" spans="1:6" ht="30" x14ac:dyDescent="0.25">
      <c r="A21" s="24" t="s">
        <v>282</v>
      </c>
      <c r="B21" s="26"/>
      <c r="C21" s="28">
        <v>0</v>
      </c>
      <c r="D21" s="28">
        <v>0</v>
      </c>
      <c r="E21" s="28">
        <v>0</v>
      </c>
      <c r="F21" s="28">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5"/>
  <sheetViews>
    <sheetView workbookViewId="0">
      <selection activeCell="B21" sqref="B21"/>
    </sheetView>
  </sheetViews>
  <sheetFormatPr defaultRowHeight="15" x14ac:dyDescent="0.25"/>
  <cols>
    <col min="1" max="1" width="17.28515625" style="2" customWidth="1"/>
    <col min="2" max="2" width="19.28515625" style="2" customWidth="1"/>
    <col min="3" max="3" width="15.140625" style="2" customWidth="1"/>
    <col min="4" max="4" width="15" style="2" customWidth="1"/>
    <col min="5" max="5" width="12.85546875" style="2" customWidth="1"/>
    <col min="6" max="6" width="6.28515625" style="2" customWidth="1"/>
    <col min="7" max="7" width="10.85546875" style="2" customWidth="1"/>
    <col min="8" max="8" width="15.140625" style="2" customWidth="1"/>
    <col min="9" max="9" width="15" style="2" customWidth="1"/>
    <col min="10" max="10" width="12.85546875" style="2" customWidth="1"/>
    <col min="11" max="11" width="6.28515625" style="2" customWidth="1"/>
    <col min="12" max="12" width="16.85546875" style="2" customWidth="1"/>
    <col min="13" max="13" width="15.140625" style="2" customWidth="1"/>
    <col min="14" max="14" width="15" style="2" customWidth="1"/>
    <col min="15" max="15" width="12.85546875" style="2" customWidth="1"/>
    <col min="16" max="16" width="6.28515625" style="2" customWidth="1"/>
    <col min="17" max="17" width="16" style="2" customWidth="1"/>
    <col min="18" max="18" width="15.140625" style="2" customWidth="1"/>
    <col min="19" max="19" width="15" style="2" customWidth="1"/>
    <col min="20" max="20" width="12.85546875" style="2" customWidth="1"/>
    <col min="21" max="21" width="16.85546875" style="2" customWidth="1"/>
    <col min="22" max="22" width="10.85546875" style="2" customWidth="1"/>
    <col min="23" max="23" width="14.42578125" style="2" bestFit="1" customWidth="1"/>
    <col min="24" max="24" width="15.28515625" style="2" bestFit="1" customWidth="1"/>
    <col min="25" max="25" width="18.42578125" style="2" bestFit="1" customWidth="1"/>
    <col min="26" max="26" width="11.85546875" style="2" bestFit="1" customWidth="1"/>
    <col min="27" max="27" width="11" style="2" bestFit="1" customWidth="1"/>
    <col min="28" max="28" width="9.7109375" style="2" bestFit="1" customWidth="1"/>
    <col min="29" max="29" width="11.85546875" style="2" bestFit="1" customWidth="1"/>
    <col min="30" max="30" width="12.28515625" style="2" bestFit="1" customWidth="1"/>
    <col min="31" max="31" width="11" style="2" bestFit="1" customWidth="1"/>
    <col min="32" max="32" width="12.140625" style="2" bestFit="1" customWidth="1"/>
    <col min="33" max="33" width="18.5703125" style="2" bestFit="1" customWidth="1"/>
    <col min="34" max="34" width="21.85546875" style="2" bestFit="1" customWidth="1"/>
    <col min="35" max="35" width="10.85546875" style="2" bestFit="1" customWidth="1"/>
    <col min="36" max="16384" width="9.140625" style="2"/>
  </cols>
  <sheetData>
    <row r="1" spans="1:9" x14ac:dyDescent="0.25">
      <c r="A1" s="2" t="s">
        <v>195</v>
      </c>
      <c r="B1" s="2" t="s">
        <v>196</v>
      </c>
    </row>
    <row r="3" spans="1:9" x14ac:dyDescent="0.25">
      <c r="A3" s="2" t="s">
        <v>197</v>
      </c>
      <c r="B3" s="2" t="s">
        <v>198</v>
      </c>
    </row>
    <row r="4" spans="1:9" x14ac:dyDescent="0.25">
      <c r="A4" s="2" t="s">
        <v>199</v>
      </c>
      <c r="B4" s="2" t="s">
        <v>186</v>
      </c>
      <c r="C4" s="2" t="s">
        <v>187</v>
      </c>
      <c r="D4" s="2" t="s">
        <v>188</v>
      </c>
      <c r="E4" s="2" t="s">
        <v>93</v>
      </c>
      <c r="F4" s="2" t="s">
        <v>200</v>
      </c>
      <c r="G4" s="2" t="s">
        <v>201</v>
      </c>
    </row>
    <row r="5" spans="1:9" x14ac:dyDescent="0.25">
      <c r="A5" s="1" t="s">
        <v>202</v>
      </c>
      <c r="B5" s="12"/>
      <c r="C5" s="12">
        <v>36.25</v>
      </c>
      <c r="D5" s="12">
        <v>11.5</v>
      </c>
      <c r="E5" s="12">
        <v>8</v>
      </c>
      <c r="F5" s="12">
        <v>7.9</v>
      </c>
      <c r="G5" s="12">
        <v>63.65</v>
      </c>
    </row>
    <row r="6" spans="1:9" x14ac:dyDescent="0.25">
      <c r="A6" s="1" t="s">
        <v>191</v>
      </c>
      <c r="B6" s="12"/>
      <c r="C6" s="12"/>
      <c r="D6" s="12"/>
      <c r="E6" s="12"/>
      <c r="F6" s="12">
        <v>3.25</v>
      </c>
      <c r="G6" s="12">
        <v>3.25</v>
      </c>
    </row>
    <row r="7" spans="1:9" x14ac:dyDescent="0.25">
      <c r="A7" s="1" t="s">
        <v>203</v>
      </c>
      <c r="B7" s="12"/>
      <c r="C7" s="12"/>
      <c r="D7" s="12"/>
      <c r="E7" s="12"/>
      <c r="F7" s="12">
        <v>0.25</v>
      </c>
      <c r="G7" s="12">
        <v>0.25</v>
      </c>
      <c r="I7" s="13"/>
    </row>
    <row r="8" spans="1:9" x14ac:dyDescent="0.25">
      <c r="A8" s="1" t="s">
        <v>204</v>
      </c>
      <c r="B8" s="12"/>
      <c r="C8" s="12">
        <v>30</v>
      </c>
      <c r="D8" s="12">
        <v>14.75</v>
      </c>
      <c r="E8" s="12">
        <v>14.5</v>
      </c>
      <c r="F8" s="12">
        <v>1.8</v>
      </c>
      <c r="G8" s="12">
        <v>61.05</v>
      </c>
    </row>
    <row r="9" spans="1:9" x14ac:dyDescent="0.25">
      <c r="A9" s="1" t="s">
        <v>205</v>
      </c>
      <c r="B9" s="12"/>
      <c r="C9" s="12">
        <v>12.5</v>
      </c>
      <c r="D9" s="12"/>
      <c r="E9" s="12">
        <v>14</v>
      </c>
      <c r="F9" s="12"/>
      <c r="G9" s="12">
        <v>26.5</v>
      </c>
    </row>
    <row r="10" spans="1:9" x14ac:dyDescent="0.25">
      <c r="A10" s="1" t="s">
        <v>206</v>
      </c>
      <c r="B10" s="12"/>
      <c r="C10" s="12">
        <v>25</v>
      </c>
      <c r="D10" s="12"/>
      <c r="E10" s="12">
        <v>63.5</v>
      </c>
      <c r="F10" s="12"/>
      <c r="G10" s="12">
        <v>88.5</v>
      </c>
      <c r="H10" s="14"/>
    </row>
    <row r="11" spans="1:9" x14ac:dyDescent="0.25">
      <c r="A11" s="1" t="s">
        <v>207</v>
      </c>
      <c r="B11" s="12"/>
      <c r="C11" s="12">
        <v>27</v>
      </c>
      <c r="D11" s="12">
        <v>20.5</v>
      </c>
      <c r="E11" s="12">
        <v>69.5</v>
      </c>
      <c r="F11" s="12">
        <v>12</v>
      </c>
      <c r="G11" s="12">
        <v>129</v>
      </c>
      <c r="H11" s="14"/>
    </row>
    <row r="12" spans="1:9" x14ac:dyDescent="0.25">
      <c r="A12" s="1" t="s">
        <v>208</v>
      </c>
      <c r="B12" s="12"/>
      <c r="C12" s="12"/>
      <c r="D12" s="12"/>
      <c r="E12" s="12">
        <v>41</v>
      </c>
      <c r="F12" s="12"/>
      <c r="G12" s="12">
        <v>41</v>
      </c>
    </row>
    <row r="13" spans="1:9" x14ac:dyDescent="0.25">
      <c r="A13" s="1" t="s">
        <v>209</v>
      </c>
      <c r="B13" s="12"/>
      <c r="C13" s="12">
        <v>8</v>
      </c>
      <c r="D13" s="12">
        <v>7</v>
      </c>
      <c r="E13" s="12"/>
      <c r="F13" s="12"/>
      <c r="G13" s="12">
        <v>15</v>
      </c>
    </row>
    <row r="14" spans="1:9" x14ac:dyDescent="0.25">
      <c r="A14" s="1" t="s">
        <v>210</v>
      </c>
      <c r="B14" s="12"/>
      <c r="C14" s="12">
        <v>7</v>
      </c>
      <c r="D14" s="12"/>
      <c r="E14" s="12"/>
      <c r="F14" s="12">
        <v>2.15</v>
      </c>
      <c r="G14" s="12">
        <v>9.15</v>
      </c>
    </row>
    <row r="15" spans="1:9" x14ac:dyDescent="0.25">
      <c r="A15" s="1" t="s">
        <v>201</v>
      </c>
      <c r="B15" s="12"/>
      <c r="C15" s="12">
        <v>145.75</v>
      </c>
      <c r="D15" s="12">
        <v>53.75</v>
      </c>
      <c r="E15" s="12">
        <v>210.5</v>
      </c>
      <c r="F15" s="12">
        <v>27.35</v>
      </c>
      <c r="G15" s="12">
        <v>437.34999999999997</v>
      </c>
    </row>
    <row r="17" spans="1:8" x14ac:dyDescent="0.25">
      <c r="A17" s="1" t="s">
        <v>211</v>
      </c>
      <c r="C17" s="2">
        <f>GETPIVOTDATA("Timer",$A$3,"afgrødetype","græs, grovfoder")-GETPIVOTDATA("Timer",$A$3,"Maskine","ufordelt","afgrødetype","græs, grovfoder")</f>
        <v>109.5</v>
      </c>
      <c r="D17" s="2">
        <f>GETPIVOTDATA("Timer",$A$3,"afgrødetype","majs, grovfoder")-GETPIVOTDATA("Timer",$A$3,"Maskine","ufordelt","afgrødetype","majs, grovfoder")</f>
        <v>42.25</v>
      </c>
      <c r="E17" s="2">
        <f>GETPIVOTDATA("Timer",$A$3,"afgrødetype","salgsafgrøder")-GETPIVOTDATA("Timer",$A$3,"Maskine","ufordelt","afgrødetype","salgsafgrøder")</f>
        <v>202.5</v>
      </c>
      <c r="F17" s="2">
        <v>0</v>
      </c>
      <c r="G17" s="2">
        <f>SUM(C17:E17)</f>
        <v>354.25</v>
      </c>
    </row>
    <row r="18" spans="1:8" x14ac:dyDescent="0.25">
      <c r="A18" s="1"/>
      <c r="C18" s="2" t="s">
        <v>285</v>
      </c>
    </row>
    <row r="19" spans="1:8" s="11" customFormat="1" x14ac:dyDescent="0.25">
      <c r="A19" s="17"/>
      <c r="B19" s="11" t="str">
        <f>E4</f>
        <v>salgsafgrøder</v>
      </c>
      <c r="C19" s="11" t="str">
        <f>D4</f>
        <v>majs, grovfoder</v>
      </c>
      <c r="D19" s="11" t="str">
        <f>C4</f>
        <v>græs, grovfoder</v>
      </c>
      <c r="E19" s="11" t="str">
        <f>B4</f>
        <v>andet grovfoder</v>
      </c>
    </row>
    <row r="20" spans="1:8" s="33" customFormat="1" x14ac:dyDescent="0.25">
      <c r="A20" s="31" t="s">
        <v>284</v>
      </c>
      <c r="B20" s="32">
        <f>E17/$G$17</f>
        <v>0.57163020465772763</v>
      </c>
      <c r="C20" s="32">
        <f>D17/$G$17</f>
        <v>0.11926605504587157</v>
      </c>
      <c r="D20" s="32">
        <f>C17/G17</f>
        <v>0.30910374029640086</v>
      </c>
      <c r="E20" s="32">
        <f>B17/G17</f>
        <v>0</v>
      </c>
      <c r="G20" s="34">
        <f>SUM(B20:D20)</f>
        <v>1</v>
      </c>
      <c r="H20" s="33" t="s">
        <v>303</v>
      </c>
    </row>
    <row r="21" spans="1:8" x14ac:dyDescent="0.25">
      <c r="F21" s="14">
        <f>SUM(B20:E20)</f>
        <v>1</v>
      </c>
    </row>
    <row r="22" spans="1:8" x14ac:dyDescent="0.25">
      <c r="A22" s="1" t="s">
        <v>268</v>
      </c>
    </row>
    <row r="24" spans="1:8" x14ac:dyDescent="0.25">
      <c r="A24" s="1" t="s">
        <v>283</v>
      </c>
      <c r="B24" s="21"/>
    </row>
    <row r="25" spans="1:8" x14ac:dyDescent="0.25">
      <c r="A25" s="2" t="s">
        <v>286</v>
      </c>
    </row>
  </sheetData>
  <pageMargins left="0.7" right="0.7" top="0.75" bottom="0.75" header="0.3" footer="0.3"/>
  <pageSetup paperSize="9" orientation="portrait"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workbookViewId="0">
      <selection activeCell="F37" sqref="F37"/>
    </sheetView>
  </sheetViews>
  <sheetFormatPr defaultRowHeight="15" x14ac:dyDescent="0.25"/>
  <cols>
    <col min="1" max="1" width="17.28515625" style="2" customWidth="1"/>
    <col min="2" max="2" width="19.28515625" style="2" customWidth="1"/>
    <col min="3" max="3" width="13.85546875" style="2" bestFit="1" customWidth="1"/>
    <col min="4" max="4" width="23" style="2" customWidth="1"/>
    <col min="5" max="5" width="9.140625" style="2"/>
    <col min="6" max="6" width="15.42578125" style="2" bestFit="1" customWidth="1"/>
    <col min="7" max="7" width="5" style="2" customWidth="1"/>
    <col min="8" max="8" width="8.28515625" style="2" customWidth="1"/>
    <col min="9" max="9" width="11.85546875" style="2" customWidth="1"/>
    <col min="10" max="10" width="17.28515625" style="2" bestFit="1" customWidth="1"/>
    <col min="11" max="11" width="8.28515625" style="2" customWidth="1"/>
    <col min="12" max="12" width="15" style="2" bestFit="1" customWidth="1"/>
    <col min="13" max="13" width="6.85546875" style="2" customWidth="1"/>
    <col min="14" max="14" width="8.85546875" style="2" customWidth="1"/>
    <col min="15" max="15" width="15.7109375" style="2" bestFit="1" customWidth="1"/>
    <col min="16" max="16" width="10.85546875" style="2" bestFit="1" customWidth="1"/>
    <col min="17" max="16384" width="9.140625" style="2"/>
  </cols>
  <sheetData>
    <row r="1" spans="1:16" x14ac:dyDescent="0.25">
      <c r="A1" s="18" t="s">
        <v>195</v>
      </c>
      <c r="B1" s="2" t="s">
        <v>196</v>
      </c>
      <c r="D1" s="2" t="s">
        <v>212</v>
      </c>
    </row>
    <row r="3" spans="1:16" x14ac:dyDescent="0.25">
      <c r="A3" s="18" t="s">
        <v>199</v>
      </c>
      <c r="B3" t="s">
        <v>197</v>
      </c>
      <c r="C3"/>
      <c r="D3"/>
      <c r="E3"/>
      <c r="F3"/>
      <c r="G3"/>
      <c r="H3"/>
      <c r="I3"/>
      <c r="J3"/>
      <c r="K3"/>
      <c r="L3"/>
      <c r="M3"/>
      <c r="N3"/>
      <c r="O3"/>
      <c r="P3"/>
    </row>
    <row r="4" spans="1:16" x14ac:dyDescent="0.25">
      <c r="A4" s="1" t="s">
        <v>186</v>
      </c>
      <c r="B4" s="12"/>
      <c r="C4"/>
      <c r="D4"/>
      <c r="E4"/>
      <c r="F4"/>
      <c r="G4"/>
      <c r="H4"/>
      <c r="I4"/>
      <c r="J4"/>
      <c r="K4"/>
      <c r="L4"/>
      <c r="M4"/>
      <c r="N4"/>
      <c r="O4"/>
      <c r="P4"/>
    </row>
    <row r="5" spans="1:16" x14ac:dyDescent="0.25">
      <c r="A5" s="1" t="s">
        <v>187</v>
      </c>
      <c r="B5" s="12">
        <v>145.75</v>
      </c>
      <c r="C5"/>
      <c r="D5"/>
      <c r="E5"/>
      <c r="F5"/>
      <c r="G5"/>
      <c r="H5"/>
      <c r="I5"/>
      <c r="J5"/>
      <c r="K5"/>
      <c r="L5"/>
      <c r="M5"/>
      <c r="N5"/>
      <c r="O5"/>
      <c r="P5"/>
    </row>
    <row r="6" spans="1:16" x14ac:dyDescent="0.25">
      <c r="A6" s="1" t="s">
        <v>188</v>
      </c>
      <c r="B6" s="12">
        <v>53.75</v>
      </c>
      <c r="C6"/>
      <c r="D6"/>
      <c r="E6"/>
      <c r="F6"/>
      <c r="G6"/>
      <c r="H6"/>
      <c r="I6"/>
      <c r="J6"/>
      <c r="K6"/>
      <c r="L6"/>
      <c r="M6"/>
      <c r="N6"/>
      <c r="O6"/>
      <c r="P6"/>
    </row>
    <row r="7" spans="1:16" x14ac:dyDescent="0.25">
      <c r="A7" s="1" t="s">
        <v>93</v>
      </c>
      <c r="B7" s="12">
        <v>210.5</v>
      </c>
      <c r="C7"/>
      <c r="D7"/>
      <c r="E7"/>
      <c r="F7"/>
      <c r="G7"/>
      <c r="H7"/>
      <c r="I7"/>
      <c r="J7"/>
      <c r="K7"/>
      <c r="L7"/>
      <c r="M7"/>
      <c r="N7"/>
      <c r="O7"/>
      <c r="P7"/>
    </row>
    <row r="8" spans="1:16" x14ac:dyDescent="0.25">
      <c r="A8" s="1" t="s">
        <v>190</v>
      </c>
      <c r="B8" s="12">
        <v>27.349999999999998</v>
      </c>
      <c r="C8"/>
      <c r="D8"/>
      <c r="E8"/>
      <c r="F8"/>
      <c r="G8"/>
      <c r="H8"/>
      <c r="I8"/>
      <c r="J8"/>
      <c r="K8"/>
      <c r="L8"/>
      <c r="M8"/>
      <c r="N8"/>
      <c r="O8"/>
      <c r="P8"/>
    </row>
    <row r="9" spans="1:16" x14ac:dyDescent="0.25">
      <c r="A9" s="1" t="s">
        <v>201</v>
      </c>
      <c r="B9" s="12">
        <v>437.35</v>
      </c>
      <c r="C9"/>
      <c r="D9"/>
      <c r="E9"/>
      <c r="F9"/>
      <c r="G9"/>
      <c r="H9"/>
      <c r="I9"/>
      <c r="J9"/>
      <c r="K9"/>
      <c r="L9"/>
      <c r="M9"/>
      <c r="N9"/>
      <c r="O9"/>
      <c r="P9"/>
    </row>
    <row r="10" spans="1:16" x14ac:dyDescent="0.25">
      <c r="A10"/>
      <c r="B10"/>
      <c r="C10"/>
      <c r="D10"/>
      <c r="E10"/>
      <c r="F10"/>
      <c r="G10"/>
      <c r="H10"/>
      <c r="I10"/>
      <c r="J10"/>
      <c r="K10"/>
      <c r="L10"/>
      <c r="M10"/>
      <c r="N10"/>
      <c r="O10"/>
      <c r="P10"/>
    </row>
    <row r="11" spans="1:16" x14ac:dyDescent="0.25">
      <c r="B11" s="2" t="s">
        <v>184</v>
      </c>
      <c r="C11" s="2" t="s">
        <v>185</v>
      </c>
    </row>
    <row r="12" spans="1:16" x14ac:dyDescent="0.25">
      <c r="A12" s="1" t="s">
        <v>186</v>
      </c>
      <c r="B12" s="15">
        <f>GETPIVOTDATA("Timer",$A$3,"afgrødetype","andet grovfoder")</f>
        <v>0</v>
      </c>
      <c r="C12" s="13">
        <f>B12/$B$16</f>
        <v>0</v>
      </c>
    </row>
    <row r="13" spans="1:16" x14ac:dyDescent="0.25">
      <c r="A13" s="1" t="s">
        <v>187</v>
      </c>
      <c r="B13" s="10">
        <f>GETPIVOTDATA("Timer",$A$3,"afgrødetype","græs, grovfoder")</f>
        <v>145.75</v>
      </c>
      <c r="C13" s="13">
        <f>B13/$B$16</f>
        <v>0.35548780487804876</v>
      </c>
    </row>
    <row r="14" spans="1:16" x14ac:dyDescent="0.25">
      <c r="A14" s="1" t="s">
        <v>188</v>
      </c>
      <c r="B14" s="10">
        <f>GETPIVOTDATA("Timer",$A$3,"afgrødetype","majs, grovfoder")</f>
        <v>53.75</v>
      </c>
      <c r="C14" s="13">
        <f t="shared" ref="C14:C16" si="0">B14/$B$16</f>
        <v>0.13109756097560976</v>
      </c>
    </row>
    <row r="15" spans="1:16" x14ac:dyDescent="0.25">
      <c r="A15" s="1" t="s">
        <v>93</v>
      </c>
      <c r="B15" s="15">
        <f>GETPIVOTDATA("Timer",$A$3,"afgrødetype","salgsafgrøder")</f>
        <v>210.5</v>
      </c>
      <c r="C15" s="13">
        <f t="shared" si="0"/>
        <v>0.51341463414634148</v>
      </c>
    </row>
    <row r="16" spans="1:16" x14ac:dyDescent="0.25">
      <c r="A16" s="1" t="s">
        <v>189</v>
      </c>
      <c r="B16" s="15">
        <f>SUM(B12:B15)</f>
        <v>410</v>
      </c>
      <c r="C16" s="13">
        <f t="shared" si="0"/>
        <v>1</v>
      </c>
    </row>
    <row r="17" spans="1:2" x14ac:dyDescent="0.25">
      <c r="A17" s="1" t="s">
        <v>190</v>
      </c>
      <c r="B17" s="2">
        <f>GETPIVOTDATA("Timer",$A$3,"afgrødetype","Ufordelt")</f>
        <v>27.349999999999998</v>
      </c>
    </row>
    <row r="18" spans="1:2" x14ac:dyDescent="0.25">
      <c r="A18" s="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5"/>
  <sheetViews>
    <sheetView workbookViewId="0"/>
  </sheetViews>
  <sheetFormatPr defaultRowHeight="15" x14ac:dyDescent="0.25"/>
  <cols>
    <col min="1" max="1" width="19.42578125" style="27" customWidth="1"/>
    <col min="2" max="2" width="9.140625" style="27"/>
    <col min="3" max="3" width="22.85546875" style="27" customWidth="1"/>
    <col min="4" max="4" width="19.7109375" style="27" customWidth="1"/>
    <col min="5" max="5" width="17.7109375" style="27" customWidth="1"/>
    <col min="6" max="16384" width="9.140625" style="27"/>
  </cols>
  <sheetData>
    <row r="2" spans="1:5" x14ac:dyDescent="0.25">
      <c r="A2" s="27" t="s">
        <v>239</v>
      </c>
      <c r="B2" s="27" t="s">
        <v>213</v>
      </c>
      <c r="C2" s="27" t="s">
        <v>214</v>
      </c>
      <c r="D2" s="27" t="s">
        <v>240</v>
      </c>
      <c r="E2" s="27" t="s">
        <v>241</v>
      </c>
    </row>
    <row r="3" spans="1:5" x14ac:dyDescent="0.25">
      <c r="A3" s="27" t="s">
        <v>217</v>
      </c>
      <c r="B3" s="27">
        <v>27</v>
      </c>
      <c r="C3" s="27" t="s">
        <v>242</v>
      </c>
      <c r="D3" s="27" t="s">
        <v>243</v>
      </c>
    </row>
    <row r="4" spans="1:5" x14ac:dyDescent="0.25">
      <c r="A4" s="27" t="s">
        <v>235</v>
      </c>
      <c r="B4" s="27">
        <v>5.46</v>
      </c>
      <c r="C4" s="27" t="s">
        <v>244</v>
      </c>
      <c r="D4" s="27" t="s">
        <v>93</v>
      </c>
    </row>
    <row r="5" spans="1:5" x14ac:dyDescent="0.25">
      <c r="A5" s="27" t="s">
        <v>221</v>
      </c>
      <c r="B5" s="27">
        <v>3.83</v>
      </c>
      <c r="C5" s="27" t="s">
        <v>227</v>
      </c>
      <c r="D5" s="27" t="s">
        <v>245</v>
      </c>
    </row>
    <row r="6" spans="1:5" x14ac:dyDescent="0.25">
      <c r="A6" s="27" t="s">
        <v>223</v>
      </c>
      <c r="B6" s="27">
        <v>15.2</v>
      </c>
      <c r="C6" s="27" t="s">
        <v>246</v>
      </c>
      <c r="D6" s="27" t="s">
        <v>243</v>
      </c>
    </row>
    <row r="7" spans="1:5" x14ac:dyDescent="0.25">
      <c r="A7" s="27" t="s">
        <v>247</v>
      </c>
      <c r="B7" s="27">
        <v>4.8</v>
      </c>
      <c r="C7" s="27" t="s">
        <v>227</v>
      </c>
      <c r="D7" s="27" t="s">
        <v>188</v>
      </c>
    </row>
    <row r="8" spans="1:5" x14ac:dyDescent="0.25">
      <c r="A8" s="27" t="s">
        <v>248</v>
      </c>
      <c r="B8" s="27">
        <v>6.16</v>
      </c>
      <c r="C8" s="27" t="s">
        <v>227</v>
      </c>
      <c r="D8" s="27" t="s">
        <v>245</v>
      </c>
    </row>
    <row r="9" spans="1:5" x14ac:dyDescent="0.25">
      <c r="A9" s="27" t="s">
        <v>249</v>
      </c>
      <c r="B9" s="27">
        <v>3.5</v>
      </c>
      <c r="C9" s="27" t="s">
        <v>227</v>
      </c>
      <c r="D9" s="27" t="s">
        <v>245</v>
      </c>
    </row>
    <row r="10" spans="1:5" x14ac:dyDescent="0.25">
      <c r="A10" s="27" t="s">
        <v>225</v>
      </c>
      <c r="B10" s="27">
        <v>14.85</v>
      </c>
      <c r="C10" s="27" t="s">
        <v>250</v>
      </c>
      <c r="D10" s="27" t="s">
        <v>243</v>
      </c>
    </row>
    <row r="11" spans="1:5" x14ac:dyDescent="0.25">
      <c r="A11" s="27" t="s">
        <v>215</v>
      </c>
      <c r="B11" s="27">
        <v>36.700000000000003</v>
      </c>
      <c r="C11" s="27" t="s">
        <v>251</v>
      </c>
      <c r="D11" s="27" t="s">
        <v>93</v>
      </c>
    </row>
    <row r="12" spans="1:5" x14ac:dyDescent="0.25">
      <c r="A12" s="27" t="s">
        <v>228</v>
      </c>
      <c r="B12" s="27">
        <v>1.9</v>
      </c>
      <c r="C12" s="27" t="s">
        <v>252</v>
      </c>
      <c r="D12" s="27" t="s">
        <v>186</v>
      </c>
    </row>
    <row r="13" spans="1:5" x14ac:dyDescent="0.25">
      <c r="A13" s="27" t="s">
        <v>219</v>
      </c>
      <c r="B13" s="27">
        <v>1.6</v>
      </c>
      <c r="C13" s="27" t="s">
        <v>253</v>
      </c>
      <c r="D13" s="27" t="s">
        <v>186</v>
      </c>
    </row>
    <row r="14" spans="1:5" x14ac:dyDescent="0.25">
      <c r="A14" s="27" t="s">
        <v>230</v>
      </c>
      <c r="B14" s="27">
        <v>29.04</v>
      </c>
      <c r="C14" s="27" t="s">
        <v>251</v>
      </c>
      <c r="D14" s="27" t="s">
        <v>187</v>
      </c>
    </row>
    <row r="15" spans="1:5" x14ac:dyDescent="0.25">
      <c r="A15" s="27" t="s">
        <v>233</v>
      </c>
      <c r="B15" s="27">
        <v>3.79</v>
      </c>
      <c r="C15" s="27" t="s">
        <v>254</v>
      </c>
      <c r="D15" s="27" t="s">
        <v>93</v>
      </c>
    </row>
    <row r="17" spans="1:3" x14ac:dyDescent="0.25">
      <c r="A17" s="27" t="s">
        <v>90</v>
      </c>
      <c r="B17" s="27">
        <f>SUM(B3:B15)</f>
        <v>153.82999999999998</v>
      </c>
    </row>
    <row r="19" spans="1:3" x14ac:dyDescent="0.25">
      <c r="A19" s="27" t="s">
        <v>214</v>
      </c>
      <c r="B19" s="27" t="s">
        <v>213</v>
      </c>
      <c r="C19" s="27" t="s">
        <v>185</v>
      </c>
    </row>
    <row r="20" spans="1:3" x14ac:dyDescent="0.25">
      <c r="A20" s="27" t="s">
        <v>255</v>
      </c>
      <c r="B20" s="27">
        <f>B11+B15+B14+B4</f>
        <v>74.989999999999995</v>
      </c>
      <c r="C20" s="255">
        <f>B20/$B$25</f>
        <v>0.48748618604953514</v>
      </c>
    </row>
    <row r="21" spans="1:3" x14ac:dyDescent="0.25">
      <c r="A21" s="27" t="str">
        <f>D8</f>
        <v>Majs, grovfoder</v>
      </c>
      <c r="B21" s="27">
        <f>B5+B7+B8+B9</f>
        <v>18.29</v>
      </c>
      <c r="C21" s="255">
        <f t="shared" ref="C21:C23" si="0">B21/$B$25</f>
        <v>0.11889748423584474</v>
      </c>
    </row>
    <row r="22" spans="1:3" x14ac:dyDescent="0.25">
      <c r="A22" s="27" t="str">
        <f>D14</f>
        <v>græs, grovfoder</v>
      </c>
      <c r="B22" s="27">
        <f>B3+B6+B10</f>
        <v>57.050000000000004</v>
      </c>
      <c r="C22" s="255">
        <f t="shared" si="0"/>
        <v>0.37086394071377493</v>
      </c>
    </row>
    <row r="23" spans="1:3" x14ac:dyDescent="0.25">
      <c r="A23" s="27" t="str">
        <f>D12</f>
        <v>andet grovfoder</v>
      </c>
      <c r="B23" s="27">
        <f>B12+B13</f>
        <v>3.5</v>
      </c>
      <c r="C23" s="255">
        <f t="shared" si="0"/>
        <v>2.2752389000845086E-2</v>
      </c>
    </row>
    <row r="25" spans="1:3" x14ac:dyDescent="0.25">
      <c r="A25" s="27" t="s">
        <v>256</v>
      </c>
      <c r="B25" s="27">
        <f>SUM(B20:B23)</f>
        <v>153.83000000000001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A7" sqref="A7"/>
    </sheetView>
  </sheetViews>
  <sheetFormatPr defaultRowHeight="15" x14ac:dyDescent="0.25"/>
  <cols>
    <col min="1" max="1" width="30.28515625" customWidth="1"/>
  </cols>
  <sheetData>
    <row r="1" spans="1:2" x14ac:dyDescent="0.25">
      <c r="A1" s="2" t="s">
        <v>56</v>
      </c>
      <c r="B1">
        <v>100</v>
      </c>
    </row>
    <row r="2" spans="1:2" x14ac:dyDescent="0.25">
      <c r="A2" s="2" t="s">
        <v>61</v>
      </c>
      <c r="B2">
        <v>1.1000000000000001</v>
      </c>
    </row>
    <row r="3" spans="1:2" x14ac:dyDescent="0.25">
      <c r="A3" s="2" t="s">
        <v>63</v>
      </c>
      <c r="B3">
        <v>0.5</v>
      </c>
    </row>
    <row r="4" spans="1:2" x14ac:dyDescent="0.25">
      <c r="A4" s="2" t="s">
        <v>62</v>
      </c>
      <c r="B4">
        <v>26</v>
      </c>
    </row>
    <row r="5" spans="1:2" x14ac:dyDescent="0.25">
      <c r="A5" s="2" t="s">
        <v>64</v>
      </c>
      <c r="B5">
        <v>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5"/>
  <sheetViews>
    <sheetView workbookViewId="0">
      <selection activeCell="A3" sqref="A3:A22"/>
    </sheetView>
  </sheetViews>
  <sheetFormatPr defaultRowHeight="15" x14ac:dyDescent="0.25"/>
  <cols>
    <col min="1" max="1" width="42.28515625" style="2" customWidth="1"/>
    <col min="2" max="2" width="8.28515625" style="2" customWidth="1"/>
    <col min="3" max="3" width="15.140625" style="2" bestFit="1" customWidth="1"/>
    <col min="4" max="4" width="15" style="2" bestFit="1" customWidth="1"/>
    <col min="5" max="5" width="12.85546875" style="2" bestFit="1" customWidth="1"/>
    <col min="6" max="6" width="6.28515625" style="2" bestFit="1" customWidth="1"/>
    <col min="7" max="7" width="10.85546875" style="2" customWidth="1"/>
    <col min="8" max="8" width="15.140625" style="2" customWidth="1"/>
    <col min="9" max="9" width="15" style="2" customWidth="1"/>
    <col min="10" max="10" width="12.85546875" style="2" customWidth="1"/>
    <col min="11" max="11" width="6.28515625" style="2" customWidth="1"/>
    <col min="12" max="12" width="16.85546875" style="2" customWidth="1"/>
    <col min="13" max="13" width="15.140625" style="2" customWidth="1"/>
    <col min="14" max="14" width="15" style="2" customWidth="1"/>
    <col min="15" max="15" width="12.85546875" style="2" customWidth="1"/>
    <col min="16" max="16" width="6.28515625" style="2" customWidth="1"/>
    <col min="17" max="17" width="16" style="2" customWidth="1"/>
    <col min="18" max="18" width="15.140625" style="2" customWidth="1"/>
    <col min="19" max="19" width="15" style="2" customWidth="1"/>
    <col min="20" max="20" width="12.85546875" style="2" customWidth="1"/>
    <col min="21" max="21" width="16.85546875" style="2" customWidth="1"/>
    <col min="22" max="22" width="10.85546875" style="2" customWidth="1"/>
    <col min="23" max="23" width="14.42578125" style="2" bestFit="1" customWidth="1"/>
    <col min="24" max="24" width="15.28515625" style="2" bestFit="1" customWidth="1"/>
    <col min="25" max="25" width="18.42578125" style="2" bestFit="1" customWidth="1"/>
    <col min="26" max="26" width="11.85546875" style="2" bestFit="1" customWidth="1"/>
    <col min="27" max="27" width="11" style="2" bestFit="1" customWidth="1"/>
    <col min="28" max="28" width="9.7109375" style="2" bestFit="1" customWidth="1"/>
    <col min="29" max="29" width="11.85546875" style="2" bestFit="1" customWidth="1"/>
    <col min="30" max="30" width="12.28515625" style="2" bestFit="1" customWidth="1"/>
    <col min="31" max="31" width="11" style="2" bestFit="1" customWidth="1"/>
    <col min="32" max="32" width="12.140625" style="2" bestFit="1" customWidth="1"/>
    <col min="33" max="33" width="18.5703125" style="2" bestFit="1" customWidth="1"/>
    <col min="34" max="34" width="21.85546875" style="2" bestFit="1" customWidth="1"/>
    <col min="35" max="35" width="10.85546875" style="2" bestFit="1" customWidth="1"/>
    <col min="36" max="16384" width="9.140625" style="2"/>
  </cols>
  <sheetData>
    <row r="1" spans="1:9" x14ac:dyDescent="0.25">
      <c r="A1" s="18" t="s">
        <v>195</v>
      </c>
      <c r="B1" s="2" t="s">
        <v>261</v>
      </c>
    </row>
    <row r="3" spans="1:9" x14ac:dyDescent="0.25">
      <c r="A3" s="18" t="s">
        <v>91</v>
      </c>
      <c r="B3"/>
      <c r="C3"/>
      <c r="D3"/>
      <c r="E3"/>
      <c r="F3"/>
      <c r="G3"/>
    </row>
    <row r="4" spans="1:9" x14ac:dyDescent="0.25">
      <c r="A4" s="1" t="s">
        <v>200</v>
      </c>
      <c r="B4"/>
      <c r="C4"/>
      <c r="D4"/>
      <c r="E4"/>
      <c r="F4"/>
      <c r="G4"/>
    </row>
    <row r="5" spans="1:9" x14ac:dyDescent="0.25">
      <c r="A5" s="1" t="s">
        <v>93</v>
      </c>
      <c r="B5"/>
      <c r="C5"/>
      <c r="D5"/>
      <c r="E5"/>
      <c r="F5"/>
      <c r="G5"/>
    </row>
    <row r="6" spans="1:9" x14ac:dyDescent="0.25">
      <c r="A6" s="16" t="s">
        <v>216</v>
      </c>
      <c r="B6"/>
      <c r="C6"/>
      <c r="D6"/>
      <c r="E6"/>
      <c r="F6"/>
      <c r="G6"/>
      <c r="H6" s="2">
        <f>SUM(C6:E6)</f>
        <v>0</v>
      </c>
      <c r="I6" s="2" t="s">
        <v>238</v>
      </c>
    </row>
    <row r="7" spans="1:9" x14ac:dyDescent="0.25">
      <c r="A7" s="16" t="s">
        <v>231</v>
      </c>
      <c r="B7"/>
      <c r="C7"/>
      <c r="D7"/>
      <c r="E7"/>
      <c r="F7"/>
      <c r="G7"/>
      <c r="H7" s="2">
        <f t="shared" ref="H7:H9" si="0">SUM(C7:E7)</f>
        <v>0</v>
      </c>
      <c r="I7" s="13" t="e">
        <f>GETPIVOTDATA("Timer",$A$3,"Traktor","Claas 836 mf")/GETPIVOTDATA("Timer",$A$3,"Traktor","Claas 836 rz")</f>
        <v>#REF!</v>
      </c>
    </row>
    <row r="8" spans="1:9" x14ac:dyDescent="0.25">
      <c r="A8" s="16" t="s">
        <v>232</v>
      </c>
      <c r="B8"/>
      <c r="C8"/>
      <c r="D8"/>
      <c r="E8"/>
      <c r="F8"/>
      <c r="G8"/>
      <c r="H8" s="2">
        <f t="shared" si="0"/>
        <v>0</v>
      </c>
    </row>
    <row r="9" spans="1:9" x14ac:dyDescent="0.25">
      <c r="A9" s="16" t="s">
        <v>234</v>
      </c>
      <c r="B9"/>
      <c r="C9"/>
      <c r="D9"/>
      <c r="E9"/>
      <c r="F9"/>
      <c r="G9"/>
      <c r="H9" s="2">
        <f t="shared" si="0"/>
        <v>0</v>
      </c>
    </row>
    <row r="10" spans="1:9" x14ac:dyDescent="0.25">
      <c r="A10" s="16" t="s">
        <v>236</v>
      </c>
      <c r="B10"/>
      <c r="C10"/>
      <c r="D10"/>
      <c r="E10"/>
      <c r="F10"/>
      <c r="G10"/>
      <c r="H10" s="14">
        <f>SUM(C10:E10)</f>
        <v>0</v>
      </c>
    </row>
    <row r="11" spans="1:9" x14ac:dyDescent="0.25">
      <c r="A11" s="16" t="s">
        <v>237</v>
      </c>
      <c r="B11"/>
      <c r="C11"/>
      <c r="D11"/>
      <c r="E11"/>
      <c r="F11"/>
      <c r="G11"/>
      <c r="H11" s="14">
        <f>SUM(C11:E11)</f>
        <v>0</v>
      </c>
    </row>
    <row r="12" spans="1:9" x14ac:dyDescent="0.25">
      <c r="A12" s="1" t="s">
        <v>188</v>
      </c>
      <c r="B12"/>
      <c r="C12"/>
      <c r="D12"/>
      <c r="E12"/>
      <c r="F12"/>
      <c r="G12"/>
    </row>
    <row r="13" spans="1:9" x14ac:dyDescent="0.25">
      <c r="A13" s="16" t="s">
        <v>227</v>
      </c>
      <c r="B13"/>
      <c r="C13"/>
      <c r="D13"/>
      <c r="E13"/>
      <c r="F13"/>
      <c r="G13"/>
      <c r="H13" s="14">
        <f>SUM(C13:E13)</f>
        <v>0</v>
      </c>
    </row>
    <row r="14" spans="1:9" x14ac:dyDescent="0.25">
      <c r="A14" s="1" t="s">
        <v>187</v>
      </c>
      <c r="B14"/>
      <c r="C14"/>
      <c r="D14"/>
      <c r="E14"/>
      <c r="F14"/>
      <c r="G14"/>
    </row>
    <row r="15" spans="1:9" x14ac:dyDescent="0.25">
      <c r="A15" s="16" t="s">
        <v>218</v>
      </c>
      <c r="B15"/>
      <c r="C15"/>
      <c r="D15"/>
      <c r="E15"/>
      <c r="F15"/>
      <c r="G15"/>
    </row>
    <row r="16" spans="1:9" x14ac:dyDescent="0.25">
      <c r="A16" s="16" t="s">
        <v>222</v>
      </c>
      <c r="B16"/>
      <c r="C16"/>
      <c r="D16"/>
      <c r="E16"/>
      <c r="F16"/>
      <c r="G16"/>
    </row>
    <row r="17" spans="1:7" x14ac:dyDescent="0.25">
      <c r="A17" s="16" t="s">
        <v>224</v>
      </c>
      <c r="B17"/>
      <c r="C17"/>
      <c r="D17"/>
      <c r="E17"/>
      <c r="F17"/>
      <c r="G17"/>
    </row>
    <row r="18" spans="1:7" x14ac:dyDescent="0.25">
      <c r="A18" s="16" t="s">
        <v>226</v>
      </c>
      <c r="B18"/>
      <c r="C18"/>
      <c r="D18"/>
      <c r="E18"/>
      <c r="F18"/>
      <c r="G18"/>
    </row>
    <row r="19" spans="1:7" x14ac:dyDescent="0.25">
      <c r="A19" s="1" t="s">
        <v>186</v>
      </c>
      <c r="B19"/>
    </row>
    <row r="20" spans="1:7" x14ac:dyDescent="0.25">
      <c r="A20" s="16" t="s">
        <v>220</v>
      </c>
      <c r="B20"/>
    </row>
    <row r="21" spans="1:7" x14ac:dyDescent="0.25">
      <c r="A21" s="16" t="s">
        <v>229</v>
      </c>
      <c r="B21"/>
    </row>
    <row r="22" spans="1:7" x14ac:dyDescent="0.25">
      <c r="A22" s="1" t="s">
        <v>201</v>
      </c>
      <c r="B22"/>
    </row>
    <row r="23" spans="1:7" x14ac:dyDescent="0.25">
      <c r="A23"/>
      <c r="B23"/>
    </row>
    <row r="24" spans="1:7" x14ac:dyDescent="0.25">
      <c r="A24"/>
      <c r="B24"/>
    </row>
    <row r="25" spans="1:7" x14ac:dyDescent="0.25">
      <c r="A25"/>
      <c r="B25"/>
    </row>
    <row r="26" spans="1:7" x14ac:dyDescent="0.25">
      <c r="A26"/>
      <c r="B26"/>
    </row>
    <row r="27" spans="1:7" x14ac:dyDescent="0.25">
      <c r="A27"/>
      <c r="B27"/>
    </row>
    <row r="28" spans="1:7" x14ac:dyDescent="0.25">
      <c r="A28"/>
      <c r="B28"/>
    </row>
    <row r="29" spans="1:7" x14ac:dyDescent="0.25">
      <c r="A29"/>
      <c r="B29"/>
    </row>
    <row r="30" spans="1:7" x14ac:dyDescent="0.25">
      <c r="A30"/>
      <c r="B30"/>
    </row>
    <row r="31" spans="1:7" x14ac:dyDescent="0.25">
      <c r="A31"/>
    </row>
    <row r="32" spans="1:7"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row r="45" spans="1:1" x14ac:dyDescent="0.25">
      <c r="A45"/>
    </row>
    <row r="46" spans="1:1" x14ac:dyDescent="0.25">
      <c r="A46"/>
    </row>
    <row r="47" spans="1:1" x14ac:dyDescent="0.25">
      <c r="A47"/>
    </row>
    <row r="48" spans="1:1"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rtikelside" ma:contentTypeID="0x010100C568DB52D9D0A14D9B2FDCC96666E9F2007948130EC3DB064584E219954237AF3900242457EFB8B24247815D688C526CD44D00AD1EA7376C7D4F47AC173EC1D8309684" ma:contentTypeVersion="0" ma:contentTypeDescription="Artikelside er en skabelon for systemindholdstyper, der er oprettet af funktionen for ressourcer til udgivelse. Det er den tilknyttede indholdstypeskabelon for de standardsidelayout, der bruges til at oprette artikelsider på websteder, hvor udgivelsesfunktionen er aktiveret." ma:contentTypeScope="" ma:versionID="5660fbc3d73df37538d7f90e0b08a192">
  <xsd:schema xmlns:xsd="http://www.w3.org/2001/XMLSchema" xmlns:xs="http://www.w3.org/2001/XMLSchema" xmlns:p="http://schemas.microsoft.com/office/2006/metadata/properties" xmlns:ns1="http://schemas.microsoft.com/sharepoint/v3" targetNamespace="http://schemas.microsoft.com/office/2006/metadata/properties" ma:root="true" ma:fieldsID="5f3d056faa624a1caa280840e9336af1" ns1:_="">
    <xsd:import namespace="http://schemas.microsoft.com/sharepoint/v3"/>
    <xsd:element name="properties">
      <xsd:complexType>
        <xsd:sequence>
          <xsd:element name="documentManagement">
            <xsd:complexType>
              <xsd:all>
                <xsd:element ref="ns1:Comments"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PageLayout" minOccurs="0"/>
                <xsd:element ref="ns1:PublishingVariationGroupID" minOccurs="0"/>
                <xsd:element ref="ns1:PublishingVariationRelationshipLinkFieldID" minOccurs="0"/>
                <xsd:element ref="ns1:PublishingRollupImage" minOccurs="0"/>
                <xsd:element ref="ns1:Audience" minOccurs="0"/>
                <xsd:element ref="ns1:PublishingPageImage" minOccurs="0"/>
                <xsd:element ref="ns1:PublishingPageContent" minOccurs="0"/>
                <xsd:element ref="ns1:SummaryLinks" minOccurs="0"/>
                <xsd:element ref="ns1:ArticleByLine" minOccurs="0"/>
                <xsd:element ref="ns1:ArticleStartDate" minOccurs="0"/>
                <xsd:element ref="ns1:PublishingImageCaption" minOccurs="0"/>
                <xsd:element ref="ns1:HeaderStyleDefini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8" nillable="true" ma:displayName="Beskrivelse" ma:internalName="Comments">
      <xsd:simpleType>
        <xsd:restriction base="dms:Note">
          <xsd:maxLength value="255"/>
        </xsd:restriction>
      </xsd:simpleType>
    </xsd:element>
    <xsd:element name="PublishingStartDate" ma:index="9" nillable="true" ma:displayName="Startdato for planlægning" ma:description="" ma:hidden="true" ma:internalName="PublishingStartDate">
      <xsd:simpleType>
        <xsd:restriction base="dms:Unknown"/>
      </xsd:simpleType>
    </xsd:element>
    <xsd:element name="PublishingExpirationDate" ma:index="10" nillable="true" ma:displayName="Slutdato for planlægning" ma:description="" ma:hidden="true" ma:internalName="PublishingExpirationDate">
      <xsd:simpleType>
        <xsd:restriction base="dms:Unknown"/>
      </xsd:simpleType>
    </xsd:element>
    <xsd:element name="PublishingContact" ma:index="11" nillable="true" ma:displayName="Kontaktperson"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2" nillable="true" ma:displayName="E-mail-adresse på kontaktperson" ma:internalName="PublishingContactEmail">
      <xsd:simpleType>
        <xsd:restriction base="dms:Text">
          <xsd:maxLength value="255"/>
        </xsd:restriction>
      </xsd:simpleType>
    </xsd:element>
    <xsd:element name="PublishingContactName" ma:index="13" nillable="true" ma:displayName="Navn på kontaktperson" ma:internalName="PublishingContactName">
      <xsd:simpleType>
        <xsd:restriction base="dms:Text">
          <xsd:maxLength value="255"/>
        </xsd:restriction>
      </xsd:simpleType>
    </xsd:element>
    <xsd:element name="PublishingContactPicture" ma:index="14" nillable="true" ma:displayName="Billede af kontaktperson"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PublishingPageLayout" ma:index="15" nillable="true" ma:displayName="Sidelayout"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16" nillable="true" ma:displayName="Variationsgruppe-id" ma:hidden="true" ma:internalName="PublishingVariationGroupID">
      <xsd:simpleType>
        <xsd:restriction base="dms:Text">
          <xsd:maxLength value="255"/>
        </xsd:restriction>
      </xsd:simpleType>
    </xsd:element>
    <xsd:element name="PublishingVariationRelationshipLinkFieldID" ma:index="17" nillable="true" ma:displayName="Relationshyperlink for variation"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8" nillable="true" ma:displayName="Opløftningsbillede" ma:internalName="PublishingRollupImage">
      <xsd:simpleType>
        <xsd:restriction base="dms:Unknown"/>
      </xsd:simpleType>
    </xsd:element>
    <xsd:element name="Audience" ma:index="19" nillable="true" ma:displayName="Målgrupper" ma:description="" ma:internalName="Audience">
      <xsd:simpleType>
        <xsd:restriction base="dms:Unknown"/>
      </xsd:simpleType>
    </xsd:element>
    <xsd:element name="PublishingPageImage" ma:index="20" nillable="true" ma:displayName="Sidebillede" ma:internalName="PublishingPageImage">
      <xsd:simpleType>
        <xsd:restriction base="dms:Unknown"/>
      </xsd:simpleType>
    </xsd:element>
    <xsd:element name="PublishingPageContent" ma:index="21" nillable="true" ma:displayName="Sideindhold" ma:internalName="PublishingPageContent">
      <xsd:simpleType>
        <xsd:restriction base="dms:Unknown"/>
      </xsd:simpleType>
    </xsd:element>
    <xsd:element name="SummaryLinks" ma:index="22" nillable="true" ma:displayName="Oversigtshyperlinks" ma:internalName="SummaryLinks">
      <xsd:simpleType>
        <xsd:restriction base="dms:Unknown"/>
      </xsd:simpleType>
    </xsd:element>
    <xsd:element name="ArticleByLine" ma:index="23" nillable="true" ma:displayName="Forfatterlinje" ma:internalName="ArticleByLine">
      <xsd:simpleType>
        <xsd:restriction base="dms:Text">
          <xsd:maxLength value="255"/>
        </xsd:restriction>
      </xsd:simpleType>
    </xsd:element>
    <xsd:element name="ArticleStartDate" ma:index="24" nillable="true" ma:displayName="Artikeldato" ma:format="DateOnly" ma:internalName="ArticleStartDate">
      <xsd:simpleType>
        <xsd:restriction base="dms:DateTime"/>
      </xsd:simpleType>
    </xsd:element>
    <xsd:element name="PublishingImageCaption" ma:index="25" nillable="true" ma:displayName="Billedtekst" ma:internalName="PublishingImageCaption">
      <xsd:simpleType>
        <xsd:restriction base="dms:Unknown"/>
      </xsd:simpleType>
    </xsd:element>
    <xsd:element name="HeaderStyleDefinitions" ma:index="26" nillable="true" ma:displayName="Typografidefinitioner" ma:hidden="true" ma:internalName="HeaderStyleDefinitions">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ublishingRollupImage xmlns="http://schemas.microsoft.com/sharepoint/v3" xsi:nil="true"/>
    <PublishingContactEmail xmlns="http://schemas.microsoft.com/sharepoint/v3" xsi:nil="true"/>
    <HeaderStyleDefinitions xmlns="http://schemas.microsoft.com/sharepoint/v3" xsi:nil="true"/>
    <PublishingVariationRelationshipLinkFieldID xmlns="http://schemas.microsoft.com/sharepoint/v3">
      <Url xsi:nil="true"/>
      <Description xsi:nil="true"/>
    </PublishingVariationRelationshipLinkFieldID>
    <PublishingPageContent xmlns="http://schemas.microsoft.com/sharepoint/v3" xsi:nil="true"/>
    <PublishingVariationGroupID xmlns="http://schemas.microsoft.com/sharepoint/v3" xsi:nil="true"/>
    <ArticleStartDate xmlns="http://schemas.microsoft.com/sharepoint/v3">2011-11-22T23:00:00+00:00</ArticleStartDate>
    <ArticleByLine xmlns="http://schemas.microsoft.com/sharepoint/v3" xsi:nil="true"/>
    <PublishingImageCaption xmlns="http://schemas.microsoft.com/sharepoint/v3" xsi:nil="true"/>
    <Audience xmlns="http://schemas.microsoft.com/sharepoint/v3" xsi:nil="true"/>
    <PublishingPageImage xmlns="http://schemas.microsoft.com/sharepoint/v3" xsi:nil="true"/>
    <SummaryLinks xmlns="http://schemas.microsoft.com/sharepoint/v3">&lt;div title="_schemaversion" id="_3"&gt;
  &lt;div title="_view"&gt;
    &lt;span title="_columns"&gt;1&lt;/span&gt;
    &lt;span title="_linkstyle"&gt;&lt;/span&gt;
    &lt;span title="_groupstyle"&gt;&lt;/span&gt;
  &lt;/div&gt;
&lt;/div&gt;</SummaryLinks>
    <PublishingExpirationDate xmlns="http://schemas.microsoft.com/sharepoint/v3" xsi:nil="true"/>
    <PublishingContactPicture xmlns="http://schemas.microsoft.com/sharepoint/v3">
      <Url xsi:nil="true"/>
      <Description xsi:nil="true"/>
    </PublishingContactPicture>
    <PublishingStartDate xmlns="http://schemas.microsoft.com/sharepoint/v3" xsi:nil="true"/>
    <PublishingContact xmlns="http://schemas.microsoft.com/sharepoint/v3">
      <UserInfo>
        <DisplayName>lcjta</DisplayName>
        <AccountId>4092</AccountId>
        <AccountType/>
      </UserInfo>
    </PublishingContact>
    <PublishingContactName xmlns="http://schemas.microsoft.com/sharepoint/v3" xsi:nil="true"/>
    <Comments xmlns="http://schemas.microsoft.com/sharepoint/v3">Regneark</Comment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Landbrugsinfo Artikelside" ma:contentTypeID="0x010100C568DB52D9D0A14D9B2FDCC96666E9F2007948130EC3DB064584E219954237AF3900242457EFB8B24247815D688C526CD44D00C26A9DBCB02B5C4DA1F017B836C045C00060750ADE2E6249BABB5C6118FC133DE800B6E1A9893ABA4670B08C14B9C53A30D30038FE43F1637F744F843E7D7DE1471064" ma:contentTypeVersion="47" ma:contentTypeDescription="Den primære contenttype der anvendes på Landbrugsinfo" ma:contentTypeScope="" ma:versionID="cf04131f4c21d88a68e14444c9c10148">
  <xsd:schema xmlns:xsd="http://www.w3.org/2001/XMLSchema" xmlns:p="http://schemas.microsoft.com/office/2006/metadata/properties" xmlns:ns1="http://schemas.microsoft.com/sharepoint/v3" xmlns:ns2="3f9812e8-f9bc-41f9-81fe-376cdc75b746" xmlns:ns3="5aa14257-579e-4a1f-bbbb-3c8dd7393476" xmlns:ns4="1fc47be7-e242-49d7-8745-326dae84948d" xmlns:ns5="c227d4fd-6fee-4d66-951e-1303329e6b9d" targetNamespace="http://schemas.microsoft.com/office/2006/metadata/properties" ma:root="true" ma:fieldsID="ed733c306cbb7ec33b289f4f67325bc8" ns1:_="" ns2:_="" ns3:_="" ns4:_="" ns5:_="">
    <xsd:import namespace="http://schemas.microsoft.com/sharepoint/v3"/>
    <xsd:import namespace="3f9812e8-f9bc-41f9-81fe-376cdc75b746"/>
    <xsd:import namespace="5aa14257-579e-4a1f-bbbb-3c8dd7393476"/>
    <xsd:import namespace="1fc47be7-e242-49d7-8745-326dae84948d"/>
    <xsd:import namespace="c227d4fd-6fee-4d66-951e-1303329e6b9d"/>
    <xsd:element name="properties">
      <xsd:complexType>
        <xsd:sequence>
          <xsd:element name="documentManagement">
            <xsd:complexType>
              <xsd:all>
                <xsd:element ref="ns1:Comments"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PageLayout" minOccurs="0"/>
                <xsd:element ref="ns1:PublishingVariationGroupID" minOccurs="0"/>
                <xsd:element ref="ns1:PublishingVariationRelationshipLinkFieldID" minOccurs="0"/>
                <xsd:element ref="ns1:PublishingRollupImage" minOccurs="0"/>
                <xsd:element ref="ns1:Audience" minOccurs="0"/>
                <xsd:element ref="ns1:PublishingPageImage" minOccurs="0"/>
                <xsd:element ref="ns1:PublishingPageContent" minOccurs="0"/>
                <xsd:element ref="ns1:SummaryLinks" minOccurs="0"/>
                <xsd:element ref="ns1:ArticleByLine" minOccurs="0"/>
                <xsd:element ref="ns1:ArticleStartDate" minOccurs="0"/>
                <xsd:element ref="ns1:PublishingImageCaption" minOccurs="0"/>
                <xsd:element ref="ns1:HeaderStyleDefinitions" minOccurs="0"/>
                <xsd:element ref="ns2:Ansvarligafdeling" minOccurs="0"/>
                <xsd:element ref="ns3:Forfattere" minOccurs="0"/>
                <xsd:element ref="ns2:Rettighedsgruppe"/>
                <xsd:element ref="ns3:Sprogvalg" minOccurs="0"/>
                <xsd:element ref="ns3:Listekode" minOccurs="0"/>
                <xsd:element ref="ns3:Nummer" minOccurs="0"/>
                <xsd:element ref="ns3:Noegleord" minOccurs="0"/>
                <xsd:element ref="ns3:Informationsserie" minOccurs="0"/>
                <xsd:element ref="ns3:Bekraeftelsesdato" minOccurs="0"/>
                <xsd:element ref="ns3:Revisionsdato" minOccurs="0"/>
                <xsd:element ref="ns2:Afsender" minOccurs="0"/>
                <xsd:element ref="ns4:Arkiveringsdato"/>
                <xsd:element ref="ns2:Ingen_x0020_besked_x0020_ved_x0020_arkivering" minOccurs="0"/>
                <xsd:element ref="ns2:HideInRollups" minOccurs="0"/>
                <xsd:element ref="ns2:IsHiddenFromRollup" minOccurs="0"/>
                <xsd:element ref="ns1:DynamicPublishingContent0" minOccurs="0"/>
                <xsd:element ref="ns1:DynamicPublishingContent1" minOccurs="0"/>
                <xsd:element ref="ns1:DynamicPublishingContent2" minOccurs="0"/>
                <xsd:element ref="ns1:DynamicPublishingContent3" minOccurs="0"/>
                <xsd:element ref="ns1:DynamicPublishingContent4" minOccurs="0"/>
                <xsd:element ref="ns1:DynamicPublishingContent5" minOccurs="0"/>
                <xsd:element ref="ns3:Sorteringsorden" minOccurs="0"/>
                <xsd:element ref="ns2:EnclosureFor" minOccurs="0"/>
                <xsd:element ref="ns2:GammelURL" minOccurs="0"/>
                <xsd:element ref="ns2:NetSkabelonValue" minOccurs="0"/>
                <xsd:element ref="ns2:Projekter" minOccurs="0"/>
                <xsd:element ref="ns5:WebInfoSubjects" minOccurs="0"/>
                <xsd:element ref="ns5:HitCount" minOccurs="0"/>
                <xsd:element ref="ns5:DisplayComments"/>
                <xsd:element ref="ns5:AllowComments"/>
                <xsd:element ref="ns5:PermalinkID" minOccurs="0"/>
                <xsd:element ref="ns5:WebInfoMultiSelect"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Comments" ma:index="8" nillable="true" ma:displayName="Beskrivelse" ma:internalName="Comments">
      <xsd:simpleType>
        <xsd:restriction base="dms:Note"/>
      </xsd:simpleType>
    </xsd:element>
    <xsd:element name="PublishingStartDate" ma:index="9" nillable="true" ma:displayName="Startdato for planlægning" ma:description="" ma:internalName="PublishingStartDate">
      <xsd:simpleType>
        <xsd:restriction base="dms:Unknown"/>
      </xsd:simpleType>
    </xsd:element>
    <xsd:element name="PublishingExpirationDate" ma:index="10" nillable="true" ma:displayName="Slutdato for planlægning" ma:description="" ma:internalName="PublishingExpirationDate">
      <xsd:simpleType>
        <xsd:restriction base="dms:Unknown"/>
      </xsd:simpleType>
    </xsd:element>
    <xsd:element name="PublishingContact" ma:index="11" nillable="true" ma:displayName="Kontaktperson" ma:description=""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2" nillable="true" ma:displayName="E-mail-adresse på kontaktperson" ma:description="" ma:internalName="PublishingContactEmail">
      <xsd:simpleType>
        <xsd:restriction base="dms:Text">
          <xsd:maxLength value="255"/>
        </xsd:restriction>
      </xsd:simpleType>
    </xsd:element>
    <xsd:element name="PublishingContactName" ma:index="13" nillable="true" ma:displayName="Navn på kontaktperson" ma:description="" ma:internalName="PublishingContactName">
      <xsd:simpleType>
        <xsd:restriction base="dms:Text">
          <xsd:maxLength value="255"/>
        </xsd:restriction>
      </xsd:simpleType>
    </xsd:element>
    <xsd:element name="PublishingContactPicture" ma:index="14" nillable="true" ma:displayName="Billede af kontaktperson" ma:description=""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PublishingPageLayout" ma:index="15" nillable="true" ma:displayName="Sidelayout" ma:description=""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16" nillable="true" ma:displayName="Variationsgruppe-id" ma:description="" ma:hidden="true" ma:internalName="PublishingVariationGroupID">
      <xsd:simpleType>
        <xsd:restriction base="dms:Text">
          <xsd:maxLength value="255"/>
        </xsd:restriction>
      </xsd:simpleType>
    </xsd:element>
    <xsd:element name="PublishingVariationRelationshipLinkFieldID" ma:index="17" nillable="true" ma:displayName="Relationshyperlink for variation" ma:description=""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8" nillable="true" ma:displayName="Opløftningsbillede" ma:description="" ma:internalName="PublishingRollupImage">
      <xsd:simpleType>
        <xsd:restriction base="dms:Unknown"/>
      </xsd:simpleType>
    </xsd:element>
    <xsd:element name="Audience" ma:index="19" nillable="true" ma:displayName="Målgrupper" ma:description="" ma:internalName="Audience">
      <xsd:simpleType>
        <xsd:restriction base="dms:Unknown"/>
      </xsd:simpleType>
    </xsd:element>
    <xsd:element name="PublishingPageImage" ma:index="20" nillable="true" ma:displayName="Sidebillede" ma:description="" ma:internalName="PublishingPageImage">
      <xsd:simpleType>
        <xsd:restriction base="dms:Unknown"/>
      </xsd:simpleType>
    </xsd:element>
    <xsd:element name="PublishingPageContent" ma:index="21" nillable="true" ma:displayName="Sideindhold" ma:description="" ma:internalName="PublishingPageContent">
      <xsd:simpleType>
        <xsd:restriction base="dms:Unknown"/>
      </xsd:simpleType>
    </xsd:element>
    <xsd:element name="SummaryLinks" ma:index="22" nillable="true" ma:displayName="Oversigtshyperlinks" ma:description="" ma:internalName="SummaryLinks">
      <xsd:simpleType>
        <xsd:restriction base="dms:Unknown"/>
      </xsd:simpleType>
    </xsd:element>
    <xsd:element name="ArticleByLine" ma:index="23" nillable="true" ma:displayName="Forfatterlinje" ma:description="" ma:internalName="ArticleByLine">
      <xsd:simpleType>
        <xsd:restriction base="dms:Text">
          <xsd:maxLength value="255"/>
        </xsd:restriction>
      </xsd:simpleType>
    </xsd:element>
    <xsd:element name="ArticleStartDate" ma:index="24" nillable="true" ma:displayName="Artikeldato" ma:description="" ma:format="DateOnly" ma:internalName="ArticleStartDate">
      <xsd:simpleType>
        <xsd:restriction base="dms:DateTime"/>
      </xsd:simpleType>
    </xsd:element>
    <xsd:element name="PublishingImageCaption" ma:index="25" nillable="true" ma:displayName="Billedtekst" ma:description="" ma:internalName="PublishingImageCaption">
      <xsd:simpleType>
        <xsd:restriction base="dms:Unknown"/>
      </xsd:simpleType>
    </xsd:element>
    <xsd:element name="HeaderStyleDefinitions" ma:index="26" nillable="true" ma:displayName="Typografidefinitioner" ma:description="" ma:hidden="true" ma:internalName="HeaderStyleDefinitions">
      <xsd:simpleType>
        <xsd:restriction base="dms:Unknown"/>
      </xsd:simpleType>
    </xsd:element>
    <xsd:element name="DynamicPublishingContent0" ma:index="42" nillable="true" ma:displayName="Dynamisk sideindhold (1)" ma:hidden="true" ma:internalName="DynamicPublishingContent0">
      <xsd:simpleType>
        <xsd:restriction base="dms:Unknown"/>
      </xsd:simpleType>
    </xsd:element>
    <xsd:element name="DynamicPublishingContent1" ma:index="43" nillable="true" ma:displayName="Dynamisk sideindhold (2)" ma:hidden="true" ma:internalName="DynamicPublishingContent1">
      <xsd:simpleType>
        <xsd:restriction base="dms:Unknown"/>
      </xsd:simpleType>
    </xsd:element>
    <xsd:element name="DynamicPublishingContent2" ma:index="44" nillable="true" ma:displayName="Dynamisk sideindhold (3)" ma:hidden="true" ma:internalName="DynamicPublishingContent2">
      <xsd:simpleType>
        <xsd:restriction base="dms:Unknown"/>
      </xsd:simpleType>
    </xsd:element>
    <xsd:element name="DynamicPublishingContent3" ma:index="45" nillable="true" ma:displayName="Dynamisk sideindhold (4)" ma:hidden="true" ma:internalName="DynamicPublishingContent3">
      <xsd:simpleType>
        <xsd:restriction base="dms:Unknown"/>
      </xsd:simpleType>
    </xsd:element>
    <xsd:element name="DynamicPublishingContent4" ma:index="46" nillable="true" ma:displayName="Dynamisk sideindhold (5)" ma:hidden="true" ma:internalName="DynamicPublishingContent4">
      <xsd:simpleType>
        <xsd:restriction base="dms:Unknown"/>
      </xsd:simpleType>
    </xsd:element>
    <xsd:element name="DynamicPublishingContent5" ma:index="47" nillable="true" ma:displayName="Dynamisk sideindhold (6)" ma:hidden="true" ma:internalName="DynamicPublishingContent5">
      <xsd:simpleType>
        <xsd:restriction base="dms:Unknown"/>
      </xsd:simpleType>
    </xsd:element>
  </xsd:schema>
  <xsd:schema xmlns:xsd="http://www.w3.org/2001/XMLSchema" xmlns:dms="http://schemas.microsoft.com/office/2006/documentManagement/types" targetNamespace="3f9812e8-f9bc-41f9-81fe-376cdc75b746" elementFormDefault="qualified">
    <xsd:import namespace="http://schemas.microsoft.com/office/2006/documentManagement/types"/>
    <xsd:element name="Ansvarligafdeling" ma:index="27" nillable="true" ma:displayName="Ansvarlig afdeling" ma:list="2b5a13a3-256c-433f-bc8b-bde4d05df095" ma:internalName="Ansvarligafdeling" ma:showField="Title" ma:web="303eeafb-7dff-46db-9396-e9c651f530ea">
      <xsd:simpleType>
        <xsd:restriction base="dms:Lookup"/>
      </xsd:simpleType>
    </xsd:element>
    <xsd:element name="Rettighedsgruppe" ma:index="29" ma:displayName="Rettighedsgruppe" ma:default="2;#Basis" ma:list="{cd861654-9942-42cc-b4e8-22e2eb33fafe}" ma:internalName="Rettighedsgruppe" ma:showField="Title" ma:web="303eeafb-7dff-46db-9396-e9c651f530ea">
      <xsd:simpleType>
        <xsd:restriction base="dms:Lookup"/>
      </xsd:simpleType>
    </xsd:element>
    <xsd:element name="Afsender" ma:index="37" nillable="true" ma:displayName="Afsender" ma:default="2;#Landscentret" ma:list="b497b606-9a6f-4593-a3de-acb9bcbea154" ma:internalName="Afsender" ma:showField="LinkTitleNoMenu" ma:web="303eeafb-7dff-46db-9396-e9c651f530ea">
      <xsd:simpleType>
        <xsd:restriction base="dms:Lookup"/>
      </xsd:simpleType>
    </xsd:element>
    <xsd:element name="Ingen_x0020_besked_x0020_ved_x0020_arkivering" ma:index="39" nillable="true" ma:displayName="Ingen besked ved arkivering" ma:default="0" ma:description="Klik her, for ikke at modtage en besked, når dokumentet når sin udløbsdato" ma:internalName="Ingen_x0020_besked_x0020_ved_x0020_arkivering">
      <xsd:simpleType>
        <xsd:restriction base="dms:Boolean"/>
      </xsd:simpleType>
    </xsd:element>
    <xsd:element name="HideInRollups" ma:index="40" nillable="true" ma:displayName="Skjul i artikellister" ma:default="0" ma:description="Klik her for at skjule siden i artikellister" ma:internalName="HideInRollups">
      <xsd:simpleType>
        <xsd:restriction base="dms:Boolean"/>
      </xsd:simpleType>
    </xsd:element>
    <xsd:element name="IsHiddenFromRollup" ma:index="41" nillable="true" ma:displayName="Skjult i artikellister (system)" ma:decimals="0" ma:default="0" ma:description="Understøtter infrastrukturen" ma:internalName="IsHiddenFromRollup">
      <xsd:simpleType>
        <xsd:restriction base="dms:Number"/>
      </xsd:simpleType>
    </xsd:element>
    <xsd:element name="EnclosureFor" ma:index="49" nillable="true" ma:displayName="Bilag til" ma:description="Peger på bilagets moderdokument" ma:internalName="EnclosureFor">
      <xsd:complexType>
        <xsd:complexContent>
          <xsd:extension base="dms:URL">
            <xsd:sequence>
              <xsd:element name="Url" type="dms:ValidUrl" minOccurs="0" nillable="true"/>
              <xsd:element name="Description" type="xsd:string" nillable="true"/>
            </xsd:sequence>
          </xsd:extension>
        </xsd:complexContent>
      </xsd:complexType>
    </xsd:element>
    <xsd:element name="GammelURL" ma:index="50" nillable="true" ma:displayName="Gammel URL" ma:description="Tidligere placering på landbrugsinfo" ma:internalName="GammelURL">
      <xsd:simpleType>
        <xsd:restriction base="dms:Text">
          <xsd:maxLength value="255"/>
        </xsd:restriction>
      </xsd:simpleType>
    </xsd:element>
    <xsd:element name="NetSkabelonValue" ma:index="51" nillable="true" ma:displayName="NetSkabelon værdier" ma:internalName="NetSkabelonValue">
      <xsd:simpleType>
        <xsd:restriction base="dms:Text">
          <xsd:maxLength value="255"/>
        </xsd:restriction>
      </xsd:simpleType>
    </xsd:element>
    <xsd:element name="Projekter" ma:index="55" nillable="true" ma:displayName="Projekter" ma:list="ecf07d35-95fb-4bda-ad72-e46544058ec2" ma:internalName="Projekter" ma:showField="LinkTitleNoMenu" ma:web="303eeafb-7dff-46db-9396-e9c651f530ea">
      <xsd:simpleType>
        <xsd:restriction base="dms:Unknown"/>
      </xsd:simpleType>
    </xsd:element>
  </xsd:schema>
  <xsd:schema xmlns:xsd="http://www.w3.org/2001/XMLSchema" xmlns:dms="http://schemas.microsoft.com/office/2006/documentManagement/types" targetNamespace="5aa14257-579e-4a1f-bbbb-3c8dd7393476" elementFormDefault="qualified">
    <xsd:import namespace="http://schemas.microsoft.com/office/2006/documentManagement/types"/>
    <xsd:element name="Forfattere" ma:index="28" nillable="true" ma:displayName="Forfattere" ma:list="UserInfo" ma:internalName="Forfattere"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progvalg" ma:index="30" nillable="true" ma:displayName="Sprogvalg" ma:default="2;#Dansk" ma:list="{358abd4b-6f7b-4eaf-9a01-7f8bac3f95ef}" ma:internalName="Sprogvalg" ma:showField="Title" ma:web="303eeafb-7dff-46db-9396-e9c651f530ea">
      <xsd:simpleType>
        <xsd:restriction base="dms:Lookup"/>
      </xsd:simpleType>
    </xsd:element>
    <xsd:element name="Listekode" ma:index="31" nillable="true" ma:displayName="Listekode" ma:internalName="Listekode">
      <xsd:simpleType>
        <xsd:restriction base="dms:Text">
          <xsd:maxLength value="255"/>
        </xsd:restriction>
      </xsd:simpleType>
    </xsd:element>
    <xsd:element name="Nummer" ma:index="32" nillable="true" ma:displayName="Nummer" ma:internalName="Nummer">
      <xsd:simpleType>
        <xsd:restriction base="dms:Text">
          <xsd:maxLength value="255"/>
        </xsd:restriction>
      </xsd:simpleType>
    </xsd:element>
    <xsd:element name="Noegleord" ma:index="33" nillable="true" ma:displayName="Nøgleord" ma:internalName="Noegleord">
      <xsd:simpleType>
        <xsd:restriction base="dms:Text">
          <xsd:maxLength value="255"/>
        </xsd:restriction>
      </xsd:simpleType>
    </xsd:element>
    <xsd:element name="Informationsserie" ma:index="34" nillable="true" ma:displayName="Historisk informationsserie" ma:internalName="Informationsserie">
      <xsd:simpleType>
        <xsd:restriction base="dms:Text">
          <xsd:maxLength value="255"/>
        </xsd:restriction>
      </xsd:simpleType>
    </xsd:element>
    <xsd:element name="Bekraeftelsesdato" ma:index="35" nillable="true" ma:displayName="Bekræftelsesdato" ma:default="[TODAY]" ma:format="DateTime" ma:internalName="Bekraeftelsesdato">
      <xsd:simpleType>
        <xsd:restriction base="dms:DateTime"/>
      </xsd:simpleType>
    </xsd:element>
    <xsd:element name="Revisionsdato" ma:index="36" nillable="true" ma:displayName="Revisionsdato" ma:default="[TODAY]" ma:format="DateTime" ma:internalName="Revisionsdato">
      <xsd:simpleType>
        <xsd:restriction base="dms:DateTime"/>
      </xsd:simpleType>
    </xsd:element>
    <xsd:element name="Sorteringsorden" ma:index="48" nillable="true" ma:displayName="Sorteringsorden" ma:decimals="0" ma:internalName="Sorteringsorden">
      <xsd:simpleType>
        <xsd:restriction base="dms:Number"/>
      </xsd:simpleType>
    </xsd:element>
  </xsd:schema>
  <xsd:schema xmlns:xsd="http://www.w3.org/2001/XMLSchema" xmlns:dms="http://schemas.microsoft.com/office/2006/documentManagement/types" targetNamespace="1fc47be7-e242-49d7-8745-326dae84948d" elementFormDefault="qualified">
    <xsd:import namespace="http://schemas.microsoft.com/office/2006/documentManagement/types"/>
    <xsd:element name="Arkiveringsdato" ma:index="38" ma:displayName="Arkiveringsdato" ma:format="DateOnly" ma:internalName="Arkiveringsdato">
      <xsd:simpleType>
        <xsd:restriction base="dms:DateTime"/>
      </xsd:simpleType>
    </xsd:element>
  </xsd:schema>
  <xsd:schema xmlns:xsd="http://www.w3.org/2001/XMLSchema" xmlns:dms="http://schemas.microsoft.com/office/2006/documentManagement/types" targetNamespace="c227d4fd-6fee-4d66-951e-1303329e6b9d" elementFormDefault="qualified">
    <xsd:import namespace="http://schemas.microsoft.com/office/2006/documentManagement/types"/>
    <xsd:element name="WebInfoSubjects" ma:index="56" nillable="true" ma:displayName="Emneord" ma:description="Knyt emneord til din artikel. Benyttes primært til nyhedsbreve." ma:list="{c1fcffa3-db61-496d-89f0-dea25d970c75}" ma:internalName="WebInfoSubjects" ma:showField="LinkTitleNoMenu" ma:web="303eeafb-7dff-46db-9396-e9c651f530ea">
      <xsd:simpleType>
        <xsd:restriction base="dms:Unknown"/>
      </xsd:simpleType>
    </xsd:element>
    <xsd:element name="HitCount" ma:index="57" nillable="true" ma:displayName="HitCount (system)" ma:decimals="0" ma:default="0" ma:description="Antal gange et dokument er set af en bruger" ma:internalName="HitCount" ma:readOnly="false">
      <xsd:simpleType>
        <xsd:restriction base="dms:Number"/>
      </xsd:simpleType>
    </xsd:element>
    <xsd:element name="DisplayComments" ma:index="60" ma:displayName="Vis kommentarer" ma:default="1" ma:internalName="DisplayComments">
      <xsd:simpleType>
        <xsd:restriction base="dms:Boolean"/>
      </xsd:simpleType>
    </xsd:element>
    <xsd:element name="AllowComments" ma:index="61" ma:displayName="Tillad nye kommentarer" ma:default="1" ma:internalName="AllowComments">
      <xsd:simpleType>
        <xsd:restriction base="dms:Boolean"/>
      </xsd:simpleType>
    </xsd:element>
    <xsd:element name="PermalinkID" ma:index="62" nillable="true" ma:displayName="Permalink ID" ma:description="Unik ID for artiklen som kan benyttes til permalink" ma:hidden="true" ma:internalName="PermalinkID" ma:readOnly="false">
      <xsd:simpleType>
        <xsd:restriction base="dms:Text">
          <xsd:maxLength value="255"/>
        </xsd:restriction>
      </xsd:simpleType>
    </xsd:element>
    <xsd:element name="WebInfoMultiSelect" ma:index="63" nillable="true" ma:displayName="Tilvalg" ma:description="Mulighed for et antal tilvalg gemt i et samlet felt." ma:internalName="WebInfoMultiSelect">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ma:readOnly="tru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E694B2E-4B56-4990-8114-2D18B62DB2D6}"/>
</file>

<file path=customXml/itemProps2.xml><?xml version="1.0" encoding="utf-8"?>
<ds:datastoreItem xmlns:ds="http://schemas.openxmlformats.org/officeDocument/2006/customXml" ds:itemID="{EDE9D208-C91E-4112-96BF-0EBEEB64224A}"/>
</file>

<file path=customXml/itemProps3.xml><?xml version="1.0" encoding="utf-8"?>
<ds:datastoreItem xmlns:ds="http://schemas.openxmlformats.org/officeDocument/2006/customXml" ds:itemID="{2312E2E7-EBF4-465F-AE69-D0596E972B67}"/>
</file>

<file path=customXml/itemProps4.xml><?xml version="1.0" encoding="utf-8"?>
<ds:datastoreItem xmlns:ds="http://schemas.openxmlformats.org/officeDocument/2006/customXml" ds:itemID="{4829DCFE-2AB2-4CA0-80CA-7271A40DB4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9</vt:i4>
      </vt:variant>
    </vt:vector>
  </HeadingPairs>
  <TitlesOfParts>
    <vt:vector size="9" baseType="lpstr">
      <vt:lpstr>hovedmatrisecen </vt:lpstr>
      <vt:lpstr>stald arbejdstid</vt:lpstr>
      <vt:lpstr>anlægskartotek</vt:lpstr>
      <vt:lpstr>VAK-fordeling stald</vt:lpstr>
      <vt:lpstr>øvrige redskaber, mark</vt:lpstr>
      <vt:lpstr>arbejdstid, mark</vt:lpstr>
      <vt:lpstr>arealfordeling</vt:lpstr>
      <vt:lpstr>Ark1</vt:lpstr>
      <vt:lpstr>Ark8</vt:lpstr>
    </vt:vector>
  </TitlesOfParts>
  <Company>Dansk Landbrugsrådgivning, Landscentret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Aktivitetsmatrice</dc:title>
  <dc:creator>Jannik Toft Andersen</dc:creator>
  <cp:lastModifiedBy>Merete Martin Jensen</cp:lastModifiedBy>
  <cp:lastPrinted>2011-11-21T11:07:23Z</cp:lastPrinted>
  <dcterms:created xsi:type="dcterms:W3CDTF">2010-08-24T12:34:48Z</dcterms:created>
  <dcterms:modified xsi:type="dcterms:W3CDTF">2011-11-23T11:37:14Z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0x010100C568DB52D9D0A14D9B2FDCC96666E9F2007948130EC3DB064584E219954237AF3900242457EFB8B24247815D688C526CD44D00AD1EA7376C7D4F47AC173EC1D8309684</vt:lpwstr>
  </property>
  <property fmtid="{D5CDD505-2E9C-101B-9397-08002B2CF9AE}" pid="3" name="Revisionsdato">
    <vt:filetime>2011-11-23T10:39:00Z</vt:filetime>
  </property>
  <property fmtid="{D5CDD505-2E9C-101B-9397-08002B2CF9AE}" pid="4" name="HideInRollups">
    <vt:bool>false</vt:bool>
  </property>
  <property fmtid="{D5CDD505-2E9C-101B-9397-08002B2CF9AE}" pid="5" name="Projekter">
    <vt:lpwstr>455;#Produktive funktionelle produktionssystemer</vt:lpwstr>
  </property>
  <property fmtid="{D5CDD505-2E9C-101B-9397-08002B2CF9AE}" pid="10" name="HitCount">
    <vt:lpwstr>0</vt:lpwstr>
  </property>
  <property fmtid="{D5CDD505-2E9C-101B-9397-08002B2CF9AE}" pid="11" name="Bekraeftelsesdato">
    <vt:lpwstr>2011-11-23T11:39:00+00:00</vt:lpwstr>
  </property>
  <property fmtid="{D5CDD505-2E9C-101B-9397-08002B2CF9AE}" pid="12" name="Forfattere">
    <vt:lpwstr>fmp:lcjta4092</vt:lpwstr>
  </property>
  <property fmtid="{D5CDD505-2E9C-101B-9397-08002B2CF9AE}" pid="14" name="IsHiddenFromRollup">
    <vt:lpwstr>0</vt:lpwstr>
  </property>
  <property fmtid="{D5CDD505-2E9C-101B-9397-08002B2CF9AE}" pid="16" name="EnclosureFor">
    <vt:lpwstr/>
  </property>
  <property fmtid="{D5CDD505-2E9C-101B-9397-08002B2CF9AE}" pid="17" name="AllowComments">
    <vt:lpwstr>true</vt:lpwstr>
  </property>
  <property fmtid="{D5CDD505-2E9C-101B-9397-08002B2CF9AE}" pid="18" name="DisplayComments">
    <vt:lpwstr>true</vt:lpwstr>
  </property>
  <property fmtid="{D5CDD505-2E9C-101B-9397-08002B2CF9AE}" pid="21" name="Ansvarligafdeling">
    <vt:lpwstr>20</vt:lpwstr>
  </property>
  <property fmtid="{D5CDD505-2E9C-101B-9397-08002B2CF9AE}" pid="27" name="Arkiveringsdato">
    <vt:lpwstr>2013-11-22T23:00:00+00:00</vt:lpwstr>
  </property>
  <property fmtid="{D5CDD505-2E9C-101B-9397-08002B2CF9AE}" pid="29" name="Ingen besked ved arkivering">
    <vt:lpwstr>true</vt:lpwstr>
  </property>
  <property fmtid="{D5CDD505-2E9C-101B-9397-08002B2CF9AE}" pid="32" name="Rettighedsgruppe">
    <vt:lpwstr>2</vt:lpwstr>
  </property>
  <property fmtid="{D5CDD505-2E9C-101B-9397-08002B2CF9AE}" pid="33" name="WebInfo_FinansieringsLink">
    <vt:lpwstr>d37dbed8-7658-40f3-b179-9dfaee087edc</vt:lpwstr>
  </property>
</Properties>
</file>